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pa\Documents\SLDE\Manutenção predial\TR Licitação\"/>
    </mc:Choice>
  </mc:AlternateContent>
  <xr:revisionPtr revIDLastSave="0" documentId="13_ncr:1_{74B0D110-0074-4317-BD69-8320F13E0FDA}" xr6:coauthVersionLast="47" xr6:coauthVersionMax="47" xr10:uidLastSave="{00000000-0000-0000-0000-000000000000}"/>
  <bookViews>
    <workbookView xWindow="28680" yWindow="-120" windowWidth="29040" windowHeight="15840" tabRatio="937" xr2:uid="{00000000-000D-0000-FFFF-FFFF00000000}"/>
  </bookViews>
  <sheets>
    <sheet name="INSTRUÇOES PARA PREENCHIMENTO" sheetId="37" r:id="rId1"/>
    <sheet name="MODELO PROPOSTA" sheetId="2" r:id="rId2"/>
    <sheet name="Cálculo do BDI" sheetId="36" r:id="rId3"/>
    <sheet name="Oficial de Manutenção-Estimado" sheetId="31" r:id="rId4"/>
    <sheet name="Oficial de Manutenção" sheetId="35" r:id="rId5"/>
    <sheet name="Uniforme" sheetId="34" r:id="rId6"/>
    <sheet name="Materiais de Reposição" sheetId="29" r:id="rId7"/>
    <sheet name="ENCARGOS-SOCIAIS-E-TRABALHISTAS" sheetId="32" state="hidden" r:id="rId8"/>
    <sheet name="DADOS-ESTATISTICOS" sheetId="33" state="hidden" r:id="rId9"/>
  </sheets>
  <externalReferences>
    <externalReference r:id="rId10"/>
    <externalReference r:id="rId11"/>
    <externalReference r:id="rId12"/>
  </externalReferences>
  <definedNames>
    <definedName name="AL_1_A_SAL_BASE" localSheetId="4">'Oficial de Manutenção'!$F$22</definedName>
    <definedName name="AL_1_A_SAL_BASE" localSheetId="3">'Oficial de Manutenção-Estimado'!$F$22</definedName>
    <definedName name="AL_1_B_ADIC_PERIC" localSheetId="4">'Oficial de Manutenção'!$F$23</definedName>
    <definedName name="AL_1_B_ADIC_PERIC" localSheetId="3">'Oficial de Manutenção-Estimado'!$F$23</definedName>
    <definedName name="AL_1_C_ADIC_NOT" localSheetId="4">'Oficial de Manutenção'!$F$24</definedName>
    <definedName name="AL_1_C_ADIC_NOT" localSheetId="3">'Oficial de Manutenção-Estimado'!$F$24</definedName>
    <definedName name="AL_1_D_ADIC_NOT_RED" localSheetId="4">'Oficial de Manutenção'!$F$25</definedName>
    <definedName name="AL_1_D_ADIC_NOT_RED" localSheetId="3">'Oficial de Manutenção-Estimado'!$F$25</definedName>
    <definedName name="AL_2_1_A_DEC_TERC" localSheetId="4">'Oficial de Manutenção'!$F$34</definedName>
    <definedName name="AL_2_1_A_DEC_TERC" localSheetId="3">'Oficial de Manutenção-Estimado'!$F$34</definedName>
    <definedName name="AL_2_1_B_ADIC_FERIAS" localSheetId="4">'Oficial de Manutenção'!$F$35</definedName>
    <definedName name="AL_2_1_B_ADIC_FERIAS" localSheetId="3">'Oficial de Manutenção-Estimado'!$F$35</definedName>
    <definedName name="AL_2_2_FGTS" localSheetId="4">'Oficial de Manutenção'!$F$46</definedName>
    <definedName name="AL_2_2_FGTS" localSheetId="3">'Oficial de Manutenção-Estimado'!$F$46</definedName>
    <definedName name="AL_2_3_A_TRANSP" localSheetId="4">'Oficial de Manutenção'!$F$50</definedName>
    <definedName name="AL_2_3_A_TRANSP" localSheetId="3">'Oficial de Manutenção-Estimado'!$F$50</definedName>
    <definedName name="AL_2_3_B_AUX_ALIMENT" localSheetId="4">'Oficial de Manutenção'!$F$51</definedName>
    <definedName name="AL_2_3_B_AUX_ALIMENT" localSheetId="3">'Oficial de Manutenção-Estimado'!$F$51</definedName>
    <definedName name="AL_2_3_C_OUTROS_BENEF" localSheetId="4">'Oficial de Manutenção'!$F$52</definedName>
    <definedName name="AL_2_3_C_OUTROS_BENEF" localSheetId="3">'Oficial de Manutenção-Estimado'!$F$52</definedName>
    <definedName name="AL_2_A_ATE_2_G_GPS" localSheetId="4">'Oficial de Manutenção'!$F$39:$F$45</definedName>
    <definedName name="AL_2_A_ATE_2_G_GPS" localSheetId="3">'Oficial de Manutenção-Estimado'!$F$39:$F$45</definedName>
    <definedName name="AL_6_A_CUSTOS_INDIRETOS" localSheetId="4">'Oficial de Manutenção'!$F$88</definedName>
    <definedName name="AL_6_A_CUSTOS_INDIRETOS" localSheetId="3">'Oficial de Manutenção-Estimado'!$F$88</definedName>
    <definedName name="AL_6_B_LUCRO" localSheetId="4">'Oficial de Manutenção'!$F$89</definedName>
    <definedName name="AL_6_B_LUCRO" localSheetId="3">'Oficial de Manutenção-Estimado'!$F$89</definedName>
    <definedName name="AL_6_C_1_PIS" localSheetId="4">'Oficial de Manutenção'!$F$91</definedName>
    <definedName name="AL_6_C_1_PIS" localSheetId="3">'Oficial de Manutenção-Estimado'!$F$91</definedName>
    <definedName name="AL_6_C_2_COFINS" localSheetId="4">'Oficial de Manutenção'!$F$92</definedName>
    <definedName name="AL_6_C_2_COFINS" localSheetId="3">'Oficial de Manutenção-Estimado'!$F$92</definedName>
    <definedName name="AL_6_C_3_ISS" localSheetId="4">'Oficial de Manutenção'!$F$93</definedName>
    <definedName name="AL_6_C_3_ISS" localSheetId="3">'Oficial de Manutenção-Estimado'!$F$93</definedName>
    <definedName name="AL_6_C_TRIBUTOS" localSheetId="4">'Oficial de Manutenção'!$F$90</definedName>
    <definedName name="AL_6_C_TRIBUTOS" localSheetId="3">'Oficial de Manutenção-Estimado'!$F$90</definedName>
    <definedName name="_xlnm.Print_Area" localSheetId="2">'Cálculo do BDI'!$A$1:$D$37</definedName>
    <definedName name="_xlnm.Print_Area" localSheetId="0">'INSTRUÇOES PARA PREENCHIMENTO'!$A$1:$J$36</definedName>
    <definedName name="_xlnm.Print_Area" localSheetId="1">'MODELO PROPOSTA'!$A$1:$I$67</definedName>
    <definedName name="CATEGORIA_PROFISSIONAL">'[1]INSERÇÃO-DE-DADOS'!$D$23</definedName>
    <definedName name="DATA_APRESENTACAO_PROPOSTA">'[1]INSERÇÃO-DE-DADOS'!$F$11</definedName>
    <definedName name="DATA_DO_ORCAMENTO_ESTIMATIVO">'[1]INSERÇÃO-DE-DADOS'!$F$2</definedName>
    <definedName name="DIAS_AUSENCIAS_LEGAIS" localSheetId="2">'[2]DADOS-ESTATISTICOS'!$F$27</definedName>
    <definedName name="DIAS_AUSENCIAS_LEGAIS" localSheetId="0">'[2]DADOS-ESTATISTICOS'!$F$27</definedName>
    <definedName name="DIAS_AUSENCIAS_LEGAIS" localSheetId="4">'[1]DADOS-ESTATISTICOS'!$F$27</definedName>
    <definedName name="DIAS_AUSENCIAS_LEGAIS" localSheetId="5">'[1]DADOS-ESTATISTICOS'!$F$27</definedName>
    <definedName name="DIAS_AUSENCIAS_LEGAIS">'DADOS-ESTATISTICOS'!$F$27</definedName>
    <definedName name="DIAS_LICENCA_MATERNIDADE" localSheetId="2">'[2]DADOS-ESTATISTICOS'!$F$33</definedName>
    <definedName name="DIAS_LICENCA_MATERNIDADE" localSheetId="0">'[2]DADOS-ESTATISTICOS'!$F$33</definedName>
    <definedName name="DIAS_LICENCA_MATERNIDADE" localSheetId="4">'[1]DADOS-ESTATISTICOS'!$F$33</definedName>
    <definedName name="DIAS_LICENCA_MATERNIDADE" localSheetId="5">'[1]DADOS-ESTATISTICOS'!$F$33</definedName>
    <definedName name="DIAS_LICENCA_MATERNIDADE">'DADOS-ESTATISTICOS'!$F$33</definedName>
    <definedName name="DIAS_LICENCA_PATERNIDADE" localSheetId="2">'[2]DADOS-ESTATISTICOS'!$F$28</definedName>
    <definedName name="DIAS_LICENCA_PATERNIDADE" localSheetId="0">'[2]DADOS-ESTATISTICOS'!$F$28</definedName>
    <definedName name="DIAS_LICENCA_PATERNIDADE" localSheetId="4">'[1]DADOS-ESTATISTICOS'!$F$28</definedName>
    <definedName name="DIAS_LICENCA_PATERNIDADE" localSheetId="5">'[1]DADOS-ESTATISTICOS'!$F$28</definedName>
    <definedName name="DIAS_LICENCA_PATERNIDADE">'DADOS-ESTATISTICOS'!$F$28</definedName>
    <definedName name="DIAS_NA_SEMANA" localSheetId="2">'[2]DADOS-ESTATISTICOS'!$F$5</definedName>
    <definedName name="DIAS_NA_SEMANA" localSheetId="0">'[2]DADOS-ESTATISTICOS'!$F$5</definedName>
    <definedName name="DIAS_NA_SEMANA" localSheetId="4">'[1]DADOS-ESTATISTICOS'!$F$5</definedName>
    <definedName name="DIAS_NA_SEMANA" localSheetId="5">'[1]DADOS-ESTATISTICOS'!$F$5</definedName>
    <definedName name="DIAS_NA_SEMANA">'DADOS-ESTATISTICOS'!$F$5</definedName>
    <definedName name="DIAS_NO_ANO">'DADOS-ESTATISTICOS'!$F$6</definedName>
    <definedName name="DIAS_NO_MES" localSheetId="2">'[2]DADOS-ESTATISTICOS'!$F$22</definedName>
    <definedName name="DIAS_NO_MES" localSheetId="0">'[2]DADOS-ESTATISTICOS'!$F$22</definedName>
    <definedName name="DIAS_NO_MES" localSheetId="4">'[1]DADOS-ESTATISTICOS'!$F$22</definedName>
    <definedName name="DIAS_NO_MES" localSheetId="5">'[1]DADOS-ESTATISTICOS'!$F$22</definedName>
    <definedName name="DIAS_NO_MES">'DADOS-ESTATISTICOS'!$F$22</definedName>
    <definedName name="DIAS_PAGOS_EMPRESA_ACID_TRAB" localSheetId="2">'[2]DADOS-ESTATISTICOS'!$F$32</definedName>
    <definedName name="DIAS_PAGOS_EMPRESA_ACID_TRAB" localSheetId="0">'[2]DADOS-ESTATISTICOS'!$F$32</definedName>
    <definedName name="DIAS_PAGOS_EMPRESA_ACID_TRAB" localSheetId="4">'[1]DADOS-ESTATISTICOS'!$F$32</definedName>
    <definedName name="DIAS_PAGOS_EMPRESA_ACID_TRAB" localSheetId="5">'[1]DADOS-ESTATISTICOS'!$F$32</definedName>
    <definedName name="DIAS_PAGOS_EMPRESA_ACID_TRAB">'DADOS-ESTATISTICOS'!$F$32</definedName>
    <definedName name="DIAS_TRABALHADOS_NO_MES">'[1]INSERÇÃO-DE-DADOS'!$F$43</definedName>
    <definedName name="DIVISOR_DE_HORAS" localSheetId="4">'[1]DADOS-ESTATISTICOS'!$F$4</definedName>
    <definedName name="DIVISOR_DE_HORAS" localSheetId="5">'[1]DADOS-ESTATISTICOS'!$F$4</definedName>
    <definedName name="DIVISOR_DE_HORAS">'DADOS-ESTATISTICOS'!$F$4</definedName>
    <definedName name="EMPREG_POR_POSTO">'[1]INSERÇÃO-DE-DADOS'!$E$19</definedName>
    <definedName name="HORA_NORMAL" localSheetId="4">'[1]DADOS-ESTATISTICOS'!$F$9</definedName>
    <definedName name="HORA_NORMAL" localSheetId="5">'[1]DADOS-ESTATISTICOS'!$F$9</definedName>
    <definedName name="HORA_NORMAL">'DADOS-ESTATISTICOS'!$F$9</definedName>
    <definedName name="HORA_NOTURNA" localSheetId="4">'[1]DADOS-ESTATISTICOS'!$F$10</definedName>
    <definedName name="HORA_NOTURNA" localSheetId="5">'[1]DADOS-ESTATISTICOS'!$F$10</definedName>
    <definedName name="HORA_NOTURNA">'DADOS-ESTATISTICOS'!$F$10</definedName>
    <definedName name="LOCAL_DE_EXECUCAO">'[1]INSERÇÃO-DE-DADOS'!$D$12</definedName>
    <definedName name="MEDIA_ANUAL_DIAS_TRABALHO_MES" localSheetId="4">'[1]DADOS-ESTATISTICOS'!$F$7</definedName>
    <definedName name="MEDIA_ANUAL_DIAS_TRABALHO_MES" localSheetId="5">'[1]DADOS-ESTATISTICOS'!$F$7</definedName>
    <definedName name="MEDIA_ANUAL_DIAS_TRABALHO_MES">'DADOS-ESTATISTICOS'!$F$7</definedName>
    <definedName name="MESES_NO_ANO" localSheetId="2">'[2]DADOS-ESTATISTICOS'!$F$8</definedName>
    <definedName name="MESES_NO_ANO" localSheetId="0">'[2]DADOS-ESTATISTICOS'!$F$8</definedName>
    <definedName name="MESES_NO_ANO" localSheetId="4">'[1]DADOS-ESTATISTICOS'!$F$8</definedName>
    <definedName name="MESES_NO_ANO" localSheetId="5">'[1]DADOS-ESTATISTICOS'!$F$8</definedName>
    <definedName name="MESES_NO_ANO">'DADOS-ESTATISTICOS'!$F$8</definedName>
    <definedName name="MOD_1_REMUNERACAO" localSheetId="4">'Oficial de Manutenção'!$F$30</definedName>
    <definedName name="MOD_1_REMUNERACAO" localSheetId="3">'Oficial de Manutenção-Estimado'!$F$30</definedName>
    <definedName name="MOD_2_ENCARGOS_BENEFICIOS" localSheetId="4">'Oficial de Manutenção'!$F$36+'Oficial de Manutenção'!$F$47+'Oficial de Manutenção'!$F$55</definedName>
    <definedName name="MOD_2_ENCARGOS_BENEFICIOS" localSheetId="3">'Oficial de Manutenção-Estimado'!$F$36+'Oficial de Manutenção-Estimado'!$F$47+'Oficial de Manutenção-Estimado'!$F$55</definedName>
    <definedName name="MOD_3_PROVISAO_RESCISAO" localSheetId="4">'Oficial de Manutenção'!$F$61</definedName>
    <definedName name="MOD_3_PROVISAO_RESCISAO" localSheetId="3">'Oficial de Manutenção-Estimado'!$F$61</definedName>
    <definedName name="MOD_4_CUSTO_REPOSICAO" localSheetId="4">'Oficial de Manutenção'!$F$72+'Oficial de Manutenção'!$F$76</definedName>
    <definedName name="MOD_4_CUSTO_REPOSICAO" localSheetId="3">'Oficial de Manutenção-Estimado'!$F$72+'Oficial de Manutenção-Estimado'!$F$76</definedName>
    <definedName name="MOD_5_INSUMOS" localSheetId="4">'Oficial de Manutenção'!$F$84</definedName>
    <definedName name="MOD_5_INSUMOS" localSheetId="3">'Oficial de Manutenção-Estimado'!$F$84</definedName>
    <definedName name="MOD_6_CUSTOS_IND_LUCRO_TRIB" localSheetId="4">'Oficial de Manutenção'!$F$95</definedName>
    <definedName name="MOD_6_CUSTOS_IND_LUCRO_TRIB" localSheetId="3">'Oficial de Manutenção-Estimado'!$F$94</definedName>
    <definedName name="MODALIDADE_DE_LICITACAO" localSheetId="8">'[1]INSERÇÃO-DE-DADOS'!$D$7</definedName>
    <definedName name="MODALIDADE_DE_LICITACAO" localSheetId="7">'[1]INSERÇÃO-DE-DADOS'!$D$7</definedName>
    <definedName name="MODALIDADE_DE_LICITACAO" localSheetId="4">'[1]INSERÇÃO-DE-DADOS'!$D$7</definedName>
    <definedName name="MODALIDADE_DE_LICITACAO" localSheetId="3">'[1]INSERÇÃO-DE-DADOS'!$D$7</definedName>
    <definedName name="MODALIDADE_DE_LICITACAO" localSheetId="5">'[1]INSERÇÃO-DE-DADOS'!$D$7</definedName>
    <definedName name="MODALIDADE_DE_LICITACAO">'[3]INSERÇÃO-DE-DADOS'!$D$7</definedName>
    <definedName name="NUMERO_MESES_EXEC_CONTRATUAL">'[1]INSERÇÃO-DE-DADOS'!$F$15</definedName>
    <definedName name="NUMERO_PREGAO" localSheetId="8">'[1]INSERÇÃO-DE-DADOS'!$F$7</definedName>
    <definedName name="NUMERO_PREGAO" localSheetId="7">'[1]INSERÇÃO-DE-DADOS'!$F$7</definedName>
    <definedName name="NUMERO_PREGAO" localSheetId="4">'[1]INSERÇÃO-DE-DADOS'!$F$7</definedName>
    <definedName name="NUMERO_PREGAO" localSheetId="3">'[1]INSERÇÃO-DE-DADOS'!$F$7</definedName>
    <definedName name="NUMERO_PREGAO" localSheetId="5">'[1]INSERÇÃO-DE-DADOS'!$F$7</definedName>
    <definedName name="NUMERO_PREGAO">'[3]INSERÇÃO-DE-DADOS'!$F$7</definedName>
    <definedName name="NUMERO_PROCESSO" localSheetId="8">'[1]INSERÇÃO-DE-DADOS'!$D$6</definedName>
    <definedName name="NUMERO_PROCESSO" localSheetId="7">'[1]INSERÇÃO-DE-DADOS'!$D$6</definedName>
    <definedName name="NUMERO_PROCESSO" localSheetId="4">'[1]INSERÇÃO-DE-DADOS'!$D$6</definedName>
    <definedName name="NUMERO_PROCESSO" localSheetId="3">'[1]INSERÇÃO-DE-DADOS'!$D$6</definedName>
    <definedName name="NUMERO_PROCESSO" localSheetId="5">'[1]INSERÇÃO-DE-DADOS'!$D$6</definedName>
    <definedName name="NUMERO_PROCESSO">'[3]INSERÇÃO-DE-DADOS'!$D$6</definedName>
    <definedName name="OUTRAS_AUSENCIAS">'ENCARGOS-SOCIAIS-E-TRABALHISTAS'!$E$31</definedName>
    <definedName name="OUTRAS_AUSENCIAS_DESCRICAO">'[1]INSERÇÃO-DE-DADOS'!$C$51</definedName>
    <definedName name="OUTROS_BENEFICIOS_1_DESCRICAO">'[1]INSERÇÃO-DE-DADOS'!$C$44</definedName>
    <definedName name="OUTROS_BENEFICIOS_2">'[1]INSERÇÃO-DE-DADOS'!$F$45</definedName>
    <definedName name="OUTROS_BENEFICIOS_2_DESCRICAO">'[1]INSERÇÃO-DE-DADOS'!$C$45</definedName>
    <definedName name="OUTROS_BENEFICIOS_3">'[1]INSERÇÃO-DE-DADOS'!$F$46</definedName>
    <definedName name="OUTROS_BENEFICIOS_3_DESCRICAO">'[1]INSERÇÃO-DE-DADOS'!$C$46</definedName>
    <definedName name="OUTROS_REMUNERACAO_1">'[1]INSERÇÃO-DE-DADOS'!$F$34</definedName>
    <definedName name="OUTROS_REMUNERACAO_1_DESCRICAO">'[1]INSERÇÃO-DE-DADOS'!$C$34</definedName>
    <definedName name="OUTROS_REMUNERACAO_2">'[1]INSERÇÃO-DE-DADOS'!$F$35</definedName>
    <definedName name="OUTROS_REMUNERACAO_2_DESCRICAO">'[1]INSERÇÃO-DE-DADOS'!$C$35:$E$35</definedName>
    <definedName name="OUTROS_REMUNERACAO_3">'[1]INSERÇÃO-DE-DADOS'!$F$36</definedName>
    <definedName name="OUTROS_REMUNERACAO_3_DESCRICAO">'[1]INSERÇÃO-DE-DADOS'!$C$36:$E$36</definedName>
    <definedName name="PERC_ADIC_FERIAS" localSheetId="8">'[1]ENCARGOS-SOCIAIS-E-TRABALHISTAS'!$E$6</definedName>
    <definedName name="PERC_ADIC_FERIAS" localSheetId="4">'[1]ENCARGOS-SOCIAIS-E-TRABALHISTAS'!$E$6</definedName>
    <definedName name="PERC_ADIC_FERIAS" localSheetId="5">'[1]ENCARGOS-SOCIAIS-E-TRABALHISTAS'!$E$6</definedName>
    <definedName name="PERC_ADIC_FERIAS">'ENCARGOS-SOCIAIS-E-TRABALHISTAS'!$E$6</definedName>
    <definedName name="PERC_ADIC_INS">'[1]INSERÇÃO-DE-DADOS'!$F$33</definedName>
    <definedName name="PERC_ADIC_NOT">'[1]INSERÇÃO-DE-DADOS'!$F$32</definedName>
    <definedName name="PERC_ADIC_PERIC">'[1]INSERÇÃO-DE-DADOS'!$F$31</definedName>
    <definedName name="PERC_AVISO_PREVIO_IND" localSheetId="8">'[1]ENCARGOS-SOCIAIS-E-TRABALHISTAS'!$E$20</definedName>
    <definedName name="PERC_AVISO_PREVIO_IND" localSheetId="4">'[1]ENCARGOS-SOCIAIS-E-TRABALHISTAS'!$E$20</definedName>
    <definedName name="PERC_AVISO_PREVIO_IND" localSheetId="5">'[1]ENCARGOS-SOCIAIS-E-TRABALHISTAS'!$E$20</definedName>
    <definedName name="PERC_AVISO_PREVIO_IND">'ENCARGOS-SOCIAIS-E-TRABALHISTAS'!$E$20</definedName>
    <definedName name="PERC_AVISO_PREVIO_TRAB">'[1]ENCARGOS-SOCIAIS-E-TRABALHISTAS'!$E$21</definedName>
    <definedName name="PERC_COFINS">'[1]INSERÇÃO-DE-DADOS'!$F$70</definedName>
    <definedName name="PERC_CUSTOS_INDIRETOS">'[1]INSERÇÃO-DE-DADOS'!$F$67</definedName>
    <definedName name="PERC_DEC_TERC" localSheetId="8">'[1]ENCARGOS-SOCIAIS-E-TRABALHISTAS'!$E$5</definedName>
    <definedName name="PERC_DEC_TERC" localSheetId="4">'[1]ENCARGOS-SOCIAIS-E-TRABALHISTAS'!$E$5</definedName>
    <definedName name="PERC_DEC_TERC" localSheetId="5">'[1]ENCARGOS-SOCIAIS-E-TRABALHISTAS'!$E$5</definedName>
    <definedName name="PERC_DEC_TERC">'ENCARGOS-SOCIAIS-E-TRABALHISTAS'!$E$5</definedName>
    <definedName name="PERC_DESC_TRANSP_REMUNERACAO" localSheetId="4">'[1]DADOS-ESTATISTICOS'!$F$14</definedName>
    <definedName name="PERC_DESC_TRANSP_REMUNERACAO" localSheetId="5">'[1]DADOS-ESTATISTICOS'!$F$14</definedName>
    <definedName name="PERC_DESC_TRANSP_REMUNERACAO">'DADOS-ESTATISTICOS'!$F$14</definedName>
    <definedName name="PERC_EMPREG_AFAST_TRAB" localSheetId="2">'[2]DADOS-ESTATISTICOS'!$F$31</definedName>
    <definedName name="PERC_EMPREG_AFAST_TRAB" localSheetId="0">'[2]DADOS-ESTATISTICOS'!$F$31</definedName>
    <definedName name="PERC_EMPREG_AFAST_TRAB" localSheetId="4">'[1]DADOS-ESTATISTICOS'!$F$31</definedName>
    <definedName name="PERC_EMPREG_AFAST_TRAB" localSheetId="5">'[1]DADOS-ESTATISTICOS'!$F$31</definedName>
    <definedName name="PERC_EMPREG_AFAST_TRAB">'DADOS-ESTATISTICOS'!$F$31</definedName>
    <definedName name="PERC_EMPREG_AVISO_PREVIO_IND" localSheetId="2">'[2]DADOS-ESTATISTICOS'!$F$19</definedName>
    <definedName name="PERC_EMPREG_AVISO_PREVIO_IND" localSheetId="0">'[2]DADOS-ESTATISTICOS'!$F$19</definedName>
    <definedName name="PERC_EMPREG_AVISO_PREVIO_IND" localSheetId="4">'[1]DADOS-ESTATISTICOS'!$F$19</definedName>
    <definedName name="PERC_EMPREG_AVISO_PREVIO_IND" localSheetId="5">'[1]DADOS-ESTATISTICOS'!$F$19</definedName>
    <definedName name="PERC_EMPREG_AVISO_PREVIO_IND">'DADOS-ESTATISTICOS'!$F$19</definedName>
    <definedName name="PERC_EMPREG_AVISO_PREVIO_TRAB" localSheetId="2">'[2]DADOS-ESTATISTICOS'!$F$21</definedName>
    <definedName name="PERC_EMPREG_AVISO_PREVIO_TRAB" localSheetId="0">'[2]DADOS-ESTATISTICOS'!$F$21</definedName>
    <definedName name="PERC_EMPREG_AVISO_PREVIO_TRAB" localSheetId="4">'[1]DADOS-ESTATISTICOS'!$F$21</definedName>
    <definedName name="PERC_EMPREG_AVISO_PREVIO_TRAB" localSheetId="5">'[1]DADOS-ESTATISTICOS'!$F$21</definedName>
    <definedName name="PERC_EMPREG_AVISO_PREVIO_TRAB">'DADOS-ESTATISTICOS'!$F$21</definedName>
    <definedName name="PERC_EMPREG_DEMIT_SEM_JUSTA_CAUSA_TOTAL_DESLIG" localSheetId="2">'[2]DADOS-ESTATISTICOS'!$F$18</definedName>
    <definedName name="PERC_EMPREG_DEMIT_SEM_JUSTA_CAUSA_TOTAL_DESLIG" localSheetId="0">'[2]DADOS-ESTATISTICOS'!$F$18</definedName>
    <definedName name="PERC_EMPREG_DEMIT_SEM_JUSTA_CAUSA_TOTAL_DESLIG" localSheetId="4">'[1]DADOS-ESTATISTICOS'!$F$18</definedName>
    <definedName name="PERC_EMPREG_DEMIT_SEM_JUSTA_CAUSA_TOTAL_DESLIG" localSheetId="5">'[1]DADOS-ESTATISTICOS'!$F$18</definedName>
    <definedName name="PERC_EMPREG_DEMIT_SEM_JUSTA_CAUSA_TOTAL_DESLIG">'DADOS-ESTATISTICOS'!$F$18</definedName>
    <definedName name="PERC_FGTS">'[1]ENCARGOS-SOCIAIS-E-TRABALHISTAS'!$E$16</definedName>
    <definedName name="PERC_GPS_FGTS">'[1]ENCARGOS-SOCIAIS-E-TRABALHISTAS'!$E$17</definedName>
    <definedName name="PERC_HORA_EXTRA">'[1]INSERÇÃO-DE-DADOS'!$F$55</definedName>
    <definedName name="PERC_INCRA" localSheetId="8">'[1]ENCARGOS-SOCIAIS-E-TRABALHISTAS'!$E$15</definedName>
    <definedName name="PERC_INCRA" localSheetId="4">'[1]ENCARGOS-SOCIAIS-E-TRABALHISTAS'!$E$15</definedName>
    <definedName name="PERC_INCRA" localSheetId="5">'[1]ENCARGOS-SOCIAIS-E-TRABALHISTAS'!$E$15</definedName>
    <definedName name="PERC_INCRA">'ENCARGOS-SOCIAIS-E-TRABALHISTAS'!$E$15</definedName>
    <definedName name="PERC_INSS" localSheetId="8">'[1]ENCARGOS-SOCIAIS-E-TRABALHISTAS'!$E$9</definedName>
    <definedName name="PERC_INSS" localSheetId="4">'[1]ENCARGOS-SOCIAIS-E-TRABALHISTAS'!$E$9</definedName>
    <definedName name="PERC_INSS" localSheetId="5">'[1]ENCARGOS-SOCIAIS-E-TRABALHISTAS'!$E$9</definedName>
    <definedName name="PERC_INSS">'ENCARGOS-SOCIAIS-E-TRABALHISTAS'!$E$9</definedName>
    <definedName name="PERC_ISS">'[1]INSERÇÃO-DE-DADOS'!$F$71</definedName>
    <definedName name="PERC_LUCRO">'[1]INSERÇÃO-DE-DADOS'!$F$68</definedName>
    <definedName name="PERC_MOD_3_PROVISAO_RESCISAO" localSheetId="4">'Oficial de Manutenção'!$E$61</definedName>
    <definedName name="PERC_MOD_3_PROVISAO_RESCISAO" localSheetId="3">'Oficial de Manutenção-Estimado'!$E$61</definedName>
    <definedName name="PERC_MULTA_FGTS" localSheetId="2">'[2]DADOS-ESTATISTICOS'!$F$20</definedName>
    <definedName name="PERC_MULTA_FGTS" localSheetId="0">'[2]DADOS-ESTATISTICOS'!$F$20</definedName>
    <definedName name="PERC_MULTA_FGTS" localSheetId="4">'[1]DADOS-ESTATISTICOS'!$F$20</definedName>
    <definedName name="PERC_MULTA_FGTS" localSheetId="5">'[1]DADOS-ESTATISTICOS'!$F$20</definedName>
    <definedName name="PERC_MULTA_FGTS">'DADOS-ESTATISTICOS'!$F$20</definedName>
    <definedName name="PERC_MULTA_FGTS_AV_PREV_TRAB" localSheetId="8">'[1]ENCARGOS-SOCIAIS-E-TRABALHISTAS'!$E$22</definedName>
    <definedName name="PERC_MULTA_FGTS_AV_PREV_TRAB" localSheetId="4">'[1]ENCARGOS-SOCIAIS-E-TRABALHISTAS'!$E$22</definedName>
    <definedName name="PERC_MULTA_FGTS_AV_PREV_TRAB" localSheetId="5">'[1]ENCARGOS-SOCIAIS-E-TRABALHISTAS'!$E$22</definedName>
    <definedName name="PERC_MULTA_FGTS_AV_PREV_TRAB">'ENCARGOS-SOCIAIS-E-TRABALHISTAS'!$E$22</definedName>
    <definedName name="PERC_NASCIDOS_VIVOS_POPUL_FEM" localSheetId="2">'[2]DADOS-ESTATISTICOS'!$F$29</definedName>
    <definedName name="PERC_NASCIDOS_VIVOS_POPUL_FEM" localSheetId="0">'[2]DADOS-ESTATISTICOS'!$F$29</definedName>
    <definedName name="PERC_NASCIDOS_VIVOS_POPUL_FEM" localSheetId="4">'[1]DADOS-ESTATISTICOS'!$F$29</definedName>
    <definedName name="PERC_NASCIDOS_VIVOS_POPUL_FEM" localSheetId="5">'[1]DADOS-ESTATISTICOS'!$F$29</definedName>
    <definedName name="PERC_NASCIDOS_VIVOS_POPUL_FEM">'DADOS-ESTATISTICOS'!$F$29</definedName>
    <definedName name="PERC_PARTIC_FEM_VIGIL" localSheetId="2">'[2]DADOS-ESTATISTICOS'!$F$34</definedName>
    <definedName name="PERC_PARTIC_FEM_VIGIL" localSheetId="0">'[2]DADOS-ESTATISTICOS'!$F$34</definedName>
    <definedName name="PERC_PARTIC_FEM_VIGIL" localSheetId="4">'[1]DADOS-ESTATISTICOS'!$F$34</definedName>
    <definedName name="PERC_PARTIC_FEM_VIGIL" localSheetId="5">'[1]DADOS-ESTATISTICOS'!$F$34</definedName>
    <definedName name="PERC_PARTIC_FEM_VIGIL">'DADOS-ESTATISTICOS'!$F$34</definedName>
    <definedName name="PERC_PARTIC_MASC_VIGIL" localSheetId="2">'[2]DADOS-ESTATISTICOS'!$F$30</definedName>
    <definedName name="PERC_PARTIC_MASC_VIGIL" localSheetId="0">'[2]DADOS-ESTATISTICOS'!$F$30</definedName>
    <definedName name="PERC_PARTIC_MASC_VIGIL" localSheetId="4">'[1]DADOS-ESTATISTICOS'!$F$30</definedName>
    <definedName name="PERC_PARTIC_MASC_VIGIL" localSheetId="5">'[1]DADOS-ESTATISTICOS'!$F$30</definedName>
    <definedName name="PERC_PARTIC_MASC_VIGIL">'DADOS-ESTATISTICOS'!$F$30</definedName>
    <definedName name="PERC_PIS">'[1]INSERÇÃO-DE-DADOS'!$F$69</definedName>
    <definedName name="PERC_RAT" localSheetId="8">'[1]ENCARGOS-SOCIAIS-E-TRABALHISTAS'!$E$11</definedName>
    <definedName name="PERC_RAT" localSheetId="4">'[1]ENCARGOS-SOCIAIS-E-TRABALHISTAS'!$E$11</definedName>
    <definedName name="PERC_RAT" localSheetId="5">'[1]ENCARGOS-SOCIAIS-E-TRABALHISTAS'!$E$11</definedName>
    <definedName name="PERC_RAT">'ENCARGOS-SOCIAIS-E-TRABALHISTAS'!$E$11</definedName>
    <definedName name="PERC_SAL_EDUCACAO" localSheetId="8">'[1]ENCARGOS-SOCIAIS-E-TRABALHISTAS'!$E$10</definedName>
    <definedName name="PERC_SAL_EDUCACAO" localSheetId="4">'[1]ENCARGOS-SOCIAIS-E-TRABALHISTAS'!$E$10</definedName>
    <definedName name="PERC_SAL_EDUCACAO" localSheetId="5">'[1]ENCARGOS-SOCIAIS-E-TRABALHISTAS'!$E$10</definedName>
    <definedName name="PERC_SAL_EDUCACAO">'ENCARGOS-SOCIAIS-E-TRABALHISTAS'!$E$10</definedName>
    <definedName name="PERC_SEBRAE" localSheetId="8">'[1]ENCARGOS-SOCIAIS-E-TRABALHISTAS'!$E$14</definedName>
    <definedName name="PERC_SEBRAE" localSheetId="4">'[1]ENCARGOS-SOCIAIS-E-TRABALHISTAS'!$E$14</definedName>
    <definedName name="PERC_SEBRAE" localSheetId="5">'[1]ENCARGOS-SOCIAIS-E-TRABALHISTAS'!$E$14</definedName>
    <definedName name="PERC_SEBRAE">'ENCARGOS-SOCIAIS-E-TRABALHISTAS'!$E$14</definedName>
    <definedName name="PERC_SENAC" localSheetId="8">'[1]ENCARGOS-SOCIAIS-E-TRABALHISTAS'!$E$13</definedName>
    <definedName name="PERC_SENAC" localSheetId="4">'[1]ENCARGOS-SOCIAIS-E-TRABALHISTAS'!$E$13</definedName>
    <definedName name="PERC_SENAC" localSheetId="5">'[1]ENCARGOS-SOCIAIS-E-TRABALHISTAS'!$E$13</definedName>
    <definedName name="PERC_SENAC">'ENCARGOS-SOCIAIS-E-TRABALHISTAS'!$E$13</definedName>
    <definedName name="PERC_SESC" localSheetId="8">'[1]ENCARGOS-SOCIAIS-E-TRABALHISTAS'!$E$12</definedName>
    <definedName name="PERC_SESC" localSheetId="4">'[1]ENCARGOS-SOCIAIS-E-TRABALHISTAS'!$E$12</definedName>
    <definedName name="PERC_SESC" localSheetId="5">'[1]ENCARGOS-SOCIAIS-E-TRABALHISTAS'!$E$12</definedName>
    <definedName name="PERC_SESC">'ENCARGOS-SOCIAIS-E-TRABALHISTAS'!$E$12</definedName>
    <definedName name="PERC_SUBSTITUTO_ACID_TRAB" localSheetId="8">'[1]ENCARGOS-SOCIAIS-E-TRABALHISTAS'!$E$29</definedName>
    <definedName name="PERC_SUBSTITUTO_ACID_TRAB" localSheetId="4">'[1]ENCARGOS-SOCIAIS-E-TRABALHISTAS'!$E$29</definedName>
    <definedName name="PERC_SUBSTITUTO_ACID_TRAB" localSheetId="5">'[1]ENCARGOS-SOCIAIS-E-TRABALHISTAS'!$E$29</definedName>
    <definedName name="PERC_SUBSTITUTO_ACID_TRAB">'ENCARGOS-SOCIAIS-E-TRABALHISTAS'!$E$29</definedName>
    <definedName name="PERC_SUBSTITUTO_AFAST_MATERN" localSheetId="8">'[1]ENCARGOS-SOCIAIS-E-TRABALHISTAS'!$E$30</definedName>
    <definedName name="PERC_SUBSTITUTO_AFAST_MATERN" localSheetId="4">'[1]ENCARGOS-SOCIAIS-E-TRABALHISTAS'!$E$30</definedName>
    <definedName name="PERC_SUBSTITUTO_AFAST_MATERN" localSheetId="5">'[1]ENCARGOS-SOCIAIS-E-TRABALHISTAS'!$E$30</definedName>
    <definedName name="PERC_SUBSTITUTO_AFAST_MATERN">'ENCARGOS-SOCIAIS-E-TRABALHISTAS'!$E$30</definedName>
    <definedName name="PERC_SUBSTITUTO_AUSENCIAS_LEGAIS" localSheetId="8">'[1]ENCARGOS-SOCIAIS-E-TRABALHISTAS'!$E$27</definedName>
    <definedName name="PERC_SUBSTITUTO_AUSENCIAS_LEGAIS" localSheetId="4">'[1]ENCARGOS-SOCIAIS-E-TRABALHISTAS'!$E$27</definedName>
    <definedName name="PERC_SUBSTITUTO_AUSENCIAS_LEGAIS" localSheetId="5">'[1]ENCARGOS-SOCIAIS-E-TRABALHISTAS'!$E$27</definedName>
    <definedName name="PERC_SUBSTITUTO_AUSENCIAS_LEGAIS">'ENCARGOS-SOCIAIS-E-TRABALHISTAS'!$E$27</definedName>
    <definedName name="PERC_SUBSTITUTO_FERIAS" localSheetId="8">'[1]ENCARGOS-SOCIAIS-E-TRABALHISTAS'!$E$26</definedName>
    <definedName name="PERC_SUBSTITUTO_FERIAS" localSheetId="4">'[1]ENCARGOS-SOCIAIS-E-TRABALHISTAS'!$E$26</definedName>
    <definedName name="PERC_SUBSTITUTO_FERIAS" localSheetId="5">'[1]ENCARGOS-SOCIAIS-E-TRABALHISTAS'!$E$26</definedName>
    <definedName name="PERC_SUBSTITUTO_FERIAS">'ENCARGOS-SOCIAIS-E-TRABALHISTAS'!$E$26</definedName>
    <definedName name="PERC_SUBSTITUTO_LICENCA_PATERNIDADE" localSheetId="8">'[1]ENCARGOS-SOCIAIS-E-TRABALHISTAS'!$E$28</definedName>
    <definedName name="PERC_SUBSTITUTO_LICENCA_PATERNIDADE" localSheetId="4">'[1]ENCARGOS-SOCIAIS-E-TRABALHISTAS'!$E$28</definedName>
    <definedName name="PERC_SUBSTITUTO_LICENCA_PATERNIDADE" localSheetId="5">'[1]ENCARGOS-SOCIAIS-E-TRABALHISTAS'!$E$28</definedName>
    <definedName name="PERC_SUBSTITUTO_LICENCA_PATERNIDADE">'ENCARGOS-SOCIAIS-E-TRABALHISTAS'!$E$28</definedName>
    <definedName name="PERC_SUBSTITUTO_OUTRAS_AUSENCIAS">'[1]INSERÇÃO-DE-DADOS'!$F$51</definedName>
    <definedName name="PERC_TRIBUTOS" localSheetId="4">'Oficial de Manutenção'!$E$90</definedName>
    <definedName name="PERC_TRIBUTOS" localSheetId="3">'Oficial de Manutenção-Estimado'!$E$90</definedName>
    <definedName name="Print_Area" localSheetId="0">'INSTRUÇOES PARA PREENCHIMENTO'!$A$1:$J$21</definedName>
    <definedName name="Print_Area" localSheetId="1">'MODELO PROPOSTA'!$A$2:$I$20</definedName>
    <definedName name="QTDE_POSTOS" localSheetId="4">'[1]INSERÇÃO-DE-DADOS'!$F$19</definedName>
    <definedName name="QTDE_POSTOS" localSheetId="3">'[1]INSERÇÃO-DE-DADOS'!$F$19</definedName>
    <definedName name="RAMO">'[1]INSERÇÃO-DE-DADOS'!$B$1</definedName>
    <definedName name="SAL_MINIMO">'[1]INSERÇÃO-DE-DADOS'!$F$25</definedName>
    <definedName name="SALARIO_BASE">'[1]INSERÇÃO-DE-DADOS'!$F$30</definedName>
    <definedName name="SUBMOD_2_1_DEC_TERC_ADIC_FERIAS" localSheetId="4">'Oficial de Manutenção'!$F$36</definedName>
    <definedName name="SUBMOD_2_1_DEC_TERC_ADIC_FERIAS" localSheetId="3">'Oficial de Manutenção-Estimado'!$F$36</definedName>
    <definedName name="SUBMOD_2_2_GPS_FGTS" localSheetId="4">'Oficial de Manutenção'!$F$47</definedName>
    <definedName name="SUBMOD_2_2_GPS_FGTS" localSheetId="3">'Oficial de Manutenção-Estimado'!$F$47</definedName>
    <definedName name="SUBMOD_2_3_BENEFICIOS" localSheetId="4">'Oficial de Manutenção'!$F$55</definedName>
    <definedName name="SUBMOD_2_3_BENEFICIOS" localSheetId="3">'Oficial de Manutenção-Estimado'!$F$55</definedName>
    <definedName name="SUBMOD_4_1_SUBSTITUTO" localSheetId="4">'Oficial de Manutenção'!$F$72</definedName>
    <definedName name="SUBMOD_4_1_SUBSTITUTO" localSheetId="3">'Oficial de Manutenção-Estimado'!$F$72</definedName>
    <definedName name="SUBMOD_4_2_INTRAJORNADA" localSheetId="4">'Oficial de Manutenção'!$F$76</definedName>
    <definedName name="SUBMOD_4_2_INTRAJORNADA" localSheetId="3">'Oficial de Manutenção-Estimado'!$F$76</definedName>
    <definedName name="TEMPO_INTERVALO_REFEICAO">'[1]INSERÇÃO-DE-DADOS'!$F$56</definedName>
    <definedName name="TRANSPORTE_POR_DIA">'[1]INSERÇÃO-DE-DADOS'!$F$41</definedName>
    <definedName name="UG">'[1]INSERÇÃO-DE-DADOS'!$B$2</definedName>
    <definedName name="VALOR_TOTAL_EMPREGADO" localSheetId="4">'Oficial de Manutenção'!$F$104</definedName>
    <definedName name="VALOR_TOTAL_EMPREGADO" localSheetId="3">'Oficial de Manutenção-Estimado'!$F$103</definedName>
    <definedName name="VALOR_TOTAL_POSTO" localSheetId="4">'Oficial de Manutenção'!$F$105</definedName>
    <definedName name="VALOR_TOTAL_POSTO" localSheetId="3">'Oficial de Manutenção-Estimado'!$F$104</definedName>
  </definedNames>
  <calcPr calcId="191029" iterateDelta="1E-4"/>
</workbook>
</file>

<file path=xl/calcChain.xml><?xml version="1.0" encoding="utf-8"?>
<calcChain xmlns="http://schemas.openxmlformats.org/spreadsheetml/2006/main">
  <c r="E89" i="35" l="1"/>
  <c r="E88" i="35"/>
  <c r="D46" i="2"/>
  <c r="F125" i="29"/>
  <c r="D59" i="36"/>
  <c r="C59" i="36"/>
  <c r="C50" i="36"/>
  <c r="D35" i="36"/>
  <c r="C35" i="36"/>
  <c r="C26" i="36"/>
  <c r="F23" i="31"/>
  <c r="G24" i="2"/>
  <c r="E90" i="35" l="1"/>
  <c r="E34" i="35"/>
  <c r="E35" i="35"/>
  <c r="E58" i="35"/>
  <c r="E59" i="35"/>
  <c r="E60" i="35"/>
  <c r="F2" i="35"/>
  <c r="D6" i="35"/>
  <c r="F8" i="35"/>
  <c r="F11" i="35"/>
  <c r="D16" i="35"/>
  <c r="C27" i="35"/>
  <c r="C28" i="35"/>
  <c r="C29" i="35"/>
  <c r="E39" i="35"/>
  <c r="E40" i="35"/>
  <c r="E41" i="35"/>
  <c r="E42" i="35"/>
  <c r="E43" i="35"/>
  <c r="E44" i="35"/>
  <c r="E45" i="35"/>
  <c r="E46" i="35"/>
  <c r="C52" i="35"/>
  <c r="C53" i="35"/>
  <c r="C54" i="35"/>
  <c r="E66" i="35"/>
  <c r="E67" i="35"/>
  <c r="E68" i="35"/>
  <c r="E69" i="35"/>
  <c r="E70" i="35"/>
  <c r="C71" i="35"/>
  <c r="E71" i="35"/>
  <c r="C8" i="34"/>
  <c r="C7" i="34"/>
  <c r="D6" i="34"/>
  <c r="C5" i="34"/>
  <c r="D4" i="34"/>
  <c r="C3" i="34"/>
  <c r="F39" i="33"/>
  <c r="F38" i="33"/>
  <c r="F31" i="33"/>
  <c r="E31" i="32"/>
  <c r="C31" i="32"/>
  <c r="E30" i="32"/>
  <c r="E29" i="32"/>
  <c r="E69" i="31" s="1"/>
  <c r="E28" i="32"/>
  <c r="E68" i="31" s="1"/>
  <c r="E27" i="32"/>
  <c r="E67" i="31" s="1"/>
  <c r="E26" i="32"/>
  <c r="E66" i="31" s="1"/>
  <c r="E22" i="32"/>
  <c r="E21" i="32"/>
  <c r="E20" i="32"/>
  <c r="E58" i="31" s="1"/>
  <c r="E17" i="32"/>
  <c r="E6" i="32"/>
  <c r="E35" i="31" s="1"/>
  <c r="E5" i="32"/>
  <c r="E34" i="31" s="1"/>
  <c r="E90" i="31"/>
  <c r="E89" i="31"/>
  <c r="E88" i="31"/>
  <c r="F80" i="31"/>
  <c r="F84" i="31" s="1"/>
  <c r="F101" i="31" s="1"/>
  <c r="F75" i="31"/>
  <c r="F76" i="31" s="1"/>
  <c r="E71" i="31"/>
  <c r="C71" i="31"/>
  <c r="E59" i="31"/>
  <c r="F54" i="31"/>
  <c r="C54" i="31"/>
  <c r="F53" i="31"/>
  <c r="C53" i="31"/>
  <c r="C52" i="31"/>
  <c r="F50" i="31"/>
  <c r="E46" i="31"/>
  <c r="E45" i="31"/>
  <c r="E44" i="31"/>
  <c r="E43" i="31"/>
  <c r="E42" i="31"/>
  <c r="E41" i="31"/>
  <c r="E40" i="31"/>
  <c r="E39" i="31"/>
  <c r="F29" i="31"/>
  <c r="C29" i="31"/>
  <c r="F28" i="31"/>
  <c r="C28" i="31"/>
  <c r="F27" i="31"/>
  <c r="C27" i="31"/>
  <c r="F26" i="31"/>
  <c r="D16" i="31"/>
  <c r="F11" i="31"/>
  <c r="F8" i="31"/>
  <c r="D6" i="31"/>
  <c r="F2" i="31"/>
  <c r="F46" i="2"/>
  <c r="H46" i="2" s="1"/>
  <c r="H19" i="2"/>
  <c r="F4" i="29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31" i="29"/>
  <c r="F32" i="29"/>
  <c r="F33" i="29"/>
  <c r="F34" i="29"/>
  <c r="F35" i="29"/>
  <c r="F36" i="29"/>
  <c r="F37" i="29"/>
  <c r="F38" i="29"/>
  <c r="F39" i="29"/>
  <c r="F40" i="29"/>
  <c r="F41" i="29"/>
  <c r="F42" i="29"/>
  <c r="F43" i="29"/>
  <c r="F44" i="29"/>
  <c r="F45" i="29"/>
  <c r="F46" i="29"/>
  <c r="F47" i="29"/>
  <c r="F48" i="29"/>
  <c r="F49" i="29"/>
  <c r="F50" i="29"/>
  <c r="F51" i="29"/>
  <c r="F52" i="29"/>
  <c r="F53" i="29"/>
  <c r="F54" i="29"/>
  <c r="F55" i="29"/>
  <c r="F56" i="29"/>
  <c r="F57" i="29"/>
  <c r="F58" i="29"/>
  <c r="F59" i="29"/>
  <c r="F60" i="29"/>
  <c r="F61" i="29"/>
  <c r="F62" i="29"/>
  <c r="F63" i="29"/>
  <c r="F64" i="29"/>
  <c r="F65" i="29"/>
  <c r="F66" i="29"/>
  <c r="F67" i="29"/>
  <c r="F68" i="29"/>
  <c r="F69" i="29"/>
  <c r="F70" i="29"/>
  <c r="F71" i="29"/>
  <c r="F72" i="29"/>
  <c r="F73" i="29"/>
  <c r="F74" i="29"/>
  <c r="F75" i="29"/>
  <c r="F76" i="29"/>
  <c r="F77" i="29"/>
  <c r="F78" i="29"/>
  <c r="F79" i="29"/>
  <c r="F80" i="29"/>
  <c r="F81" i="29"/>
  <c r="F82" i="29"/>
  <c r="F83" i="29"/>
  <c r="F84" i="29"/>
  <c r="F85" i="29"/>
  <c r="F86" i="29"/>
  <c r="F87" i="29"/>
  <c r="F88" i="29"/>
  <c r="F89" i="29"/>
  <c r="F90" i="29"/>
  <c r="F91" i="29"/>
  <c r="F92" i="29"/>
  <c r="F96" i="29"/>
  <c r="F97" i="29"/>
  <c r="F98" i="29"/>
  <c r="F99" i="29"/>
  <c r="F100" i="29"/>
  <c r="F101" i="29"/>
  <c r="F102" i="29"/>
  <c r="F103" i="29"/>
  <c r="F104" i="29"/>
  <c r="F105" i="29"/>
  <c r="F106" i="29"/>
  <c r="F107" i="29"/>
  <c r="F108" i="29"/>
  <c r="F109" i="29"/>
  <c r="F110" i="29"/>
  <c r="F111" i="29"/>
  <c r="F112" i="29"/>
  <c r="F113" i="29"/>
  <c r="F114" i="29"/>
  <c r="F115" i="29"/>
  <c r="F116" i="29"/>
  <c r="F117" i="29"/>
  <c r="F118" i="29"/>
  <c r="F119" i="29"/>
  <c r="F120" i="29"/>
  <c r="F121" i="29"/>
  <c r="F122" i="29"/>
  <c r="F123" i="29"/>
  <c r="F29" i="2"/>
  <c r="H29" i="2" s="1"/>
  <c r="F30" i="2"/>
  <c r="H30" i="2" s="1"/>
  <c r="F31" i="2"/>
  <c r="H31" i="2" s="1"/>
  <c r="F32" i="2"/>
  <c r="H32" i="2" s="1"/>
  <c r="F33" i="2"/>
  <c r="H33" i="2" s="1"/>
  <c r="F34" i="2"/>
  <c r="H34" i="2" s="1"/>
  <c r="F35" i="2"/>
  <c r="H35" i="2" s="1"/>
  <c r="F36" i="2"/>
  <c r="H36" i="2" s="1"/>
  <c r="F28" i="2"/>
  <c r="H28" i="2" s="1"/>
  <c r="H24" i="2"/>
  <c r="F20" i="2"/>
  <c r="H20" i="2" s="1"/>
  <c r="F19" i="2"/>
  <c r="E60" i="31" l="1"/>
  <c r="E70" i="31"/>
  <c r="F55" i="31"/>
  <c r="F24" i="31"/>
  <c r="F25" i="31"/>
  <c r="F124" i="29"/>
  <c r="F126" i="29" s="1"/>
  <c r="D41" i="2" s="1"/>
  <c r="H41" i="2" s="1"/>
  <c r="H25" i="2"/>
  <c r="H37" i="2"/>
  <c r="F30" i="31" l="1"/>
  <c r="F34" i="31" s="1"/>
  <c r="H21" i="2"/>
  <c r="H48" i="2" s="1"/>
  <c r="F97" i="31" l="1"/>
  <c r="F35" i="31"/>
  <c r="F36" i="31" s="1"/>
  <c r="F42" i="31" l="1"/>
  <c r="F46" i="31"/>
  <c r="F58" i="31" s="1"/>
  <c r="F45" i="31"/>
  <c r="F43" i="31"/>
  <c r="F40" i="31"/>
  <c r="F60" i="31"/>
  <c r="F39" i="31"/>
  <c r="F44" i="31"/>
  <c r="F41" i="31"/>
  <c r="F47" i="31" l="1"/>
  <c r="F59" i="31" s="1"/>
  <c r="F61" i="31" s="1"/>
  <c r="F71" i="31" l="1"/>
  <c r="F70" i="31"/>
  <c r="F98" i="31"/>
  <c r="F67" i="31"/>
  <c r="F69" i="31"/>
  <c r="F68" i="31"/>
  <c r="F99" i="31"/>
  <c r="F66" i="31"/>
  <c r="F72" i="31" l="1"/>
  <c r="F100" i="31" s="1"/>
  <c r="F88" i="31" l="1"/>
  <c r="F89" i="31" s="1"/>
  <c r="F91" i="31" s="1"/>
  <c r="F93" i="31" l="1"/>
  <c r="F92" i="31"/>
  <c r="F90" i="31" l="1"/>
  <c r="F94" i="31" s="1"/>
  <c r="F102" i="31" s="1"/>
  <c r="F103" i="31" s="1"/>
  <c r="F105" i="31" s="1"/>
  <c r="F106" i="35"/>
  <c r="F104" i="31" l="1"/>
  <c r="F105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9D0186F3-9E5C-45B2-BB8D-541FCE7649F5}">
      <text>
        <r>
          <rPr>
            <sz val="9"/>
            <color indexed="81"/>
            <rFont val="Segoe UI"/>
            <family val="2"/>
          </rPr>
          <t>Valores retirados da planilha "Cálculo do BDI"</t>
        </r>
      </text>
    </comment>
    <comment ref="E89" authorId="0" shapeId="0" xr:uid="{848273A4-3D9F-4D54-A71F-F3F960F90C8D}">
      <text>
        <r>
          <rPr>
            <sz val="9"/>
            <color indexed="81"/>
            <rFont val="Segoe UI"/>
            <family val="2"/>
          </rPr>
          <t>Lucro retirado do valor preenchido na planilha "Cálculo do BDI"</t>
        </r>
      </text>
    </comment>
    <comment ref="E94" authorId="0" shapeId="0" xr:uid="{86AF8DA0-DBFC-4A1E-9205-EDDB602990F0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sharedStrings.xml><?xml version="1.0" encoding="utf-8"?>
<sst xmlns="http://schemas.openxmlformats.org/spreadsheetml/2006/main" count="996" uniqueCount="490">
  <si>
    <t>A PROPOSTA DA LICITANTE DEVE ATENDER TODAS AS CONDIÇÕES EXIGIDAS NO EDITAL, CONFORME MODELO DESTA PLANILHA.</t>
  </si>
  <si>
    <t>A PLANILHA DE CUSTOS E FORMAÇÃO DE PREÇOS (EM FORMATO EDITÁVEL) DEVE SER ENCAMINHADA COMO ANEXO DE PROPOSTA PELO SISTEMA COMPRASNET E, SE FOR O CASO, AJUSTADA PELO LICITANTE APÓS SOLICITAÇÃO DO PREGOEIRO PARA ADEQUAÇÃO AO LANCE FINAL / VALOR NEGOCIADO OU SANEAMENTO.</t>
  </si>
  <si>
    <t xml:space="preserve">O LICITANTE DEVE INFORMAR QUAL ACORDO, CONVENÇÃO COLETIVA OU SENTENÇA NORMATIVA QUE BASEIA SUA PROPOSTA DE PREÇOS, INDICANDO OS SINDICATOS. </t>
  </si>
  <si>
    <t>O CABEÇALHO ENCONTRA-SE DESBLOQUEADO PARA POSSIBILITAR IDENTIFICAÇÃO/PERSONALIZAÇÃO PELO LICITANTE.</t>
  </si>
  <si>
    <t>MODELO DE PROPOSTA</t>
  </si>
  <si>
    <t>Dados referentes à licitação</t>
  </si>
  <si>
    <t>Nº do Processo</t>
  </si>
  <si>
    <t>Modalidade de Licitação</t>
  </si>
  <si>
    <t>Para execução dos serviços objeto da licitação referida, a empresa propõe os seguintes valores:</t>
  </si>
  <si>
    <t>ITEM 1</t>
  </si>
  <si>
    <t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</si>
  <si>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Os preços acima foram calculados com base na Convenção Coletiva 20xx/20xx, registrada no MTE sob nº xxxxxx, firmada pelo Sindicato xxxxxx, que representa a categoria profissional desta empresa.</t>
  </si>
  <si>
    <t>Validade da proposta: 60 (sessenta) dias, a contar da abertura da sessão pública.</t>
  </si>
  <si>
    <t>Informações bancárias para pagamento em caso de contratação: Banco XXXX, Agência XXXXX, Conta XXXXX</t>
  </si>
  <si>
    <t>Por fim, a empresa declara que aceita todas as condições estipuladas no edital e anexos da licitação referida e que, se vencedor do certame, executará o objeto da licitação em total conformidade àquelas, independente de possíveis omissões na proposta.</t>
  </si>
  <si>
    <t>__________(Local/Data)__________</t>
  </si>
  <si>
    <t>_____(Assinatura/Nome Legível/)______</t>
  </si>
  <si>
    <t>Representante legal / Responsável técnico</t>
  </si>
  <si>
    <t>RG nº ____________ CPF nº _____________</t>
  </si>
  <si>
    <t xml:space="preserve">   </t>
  </si>
  <si>
    <t xml:space="preserve"> </t>
  </si>
  <si>
    <t>PIS</t>
  </si>
  <si>
    <t>DESCRIÇÃO</t>
  </si>
  <si>
    <t>ITEM</t>
  </si>
  <si>
    <t>UN</t>
  </si>
  <si>
    <t>OBJETO: 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CONTRATANTE.</t>
  </si>
  <si>
    <t>PREGÃO ELETRÔNICO Nº 01/2023 – UASG 200075</t>
  </si>
  <si>
    <r>
      <t xml:space="preserve">PARA O LICITANTE COMPOR A SUA PLANILHA, BASTA PREENCHER AS </t>
    </r>
    <r>
      <rPr>
        <b/>
        <sz val="10"/>
        <color rgb="FFFF0000"/>
        <rFont val="Arial"/>
        <family val="2"/>
      </rPr>
      <t>CÉLULAS AMARELAS</t>
    </r>
    <r>
      <rPr>
        <b/>
        <sz val="10"/>
        <rFont val="Arial"/>
        <family val="2"/>
      </rPr>
      <t>. DESSA FORMA, AS ABAS DA PLANILHA SÃO ATUALIZADAS AUTOMATICAMENTE.</t>
    </r>
  </si>
  <si>
    <t>PREGÃO ELETRÔNICO Nº 1/2023 – UASG 200075</t>
  </si>
  <si>
    <t>1.23.000.002685/2022-92</t>
  </si>
  <si>
    <t>Pregão Eletrônico nº 1/2023</t>
  </si>
  <si>
    <t>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CONTRATANTE, conforme condições, quantidades e exigências estabelecidas no Edital e seus anexos, abrangendo os seguintes subitens:</t>
  </si>
  <si>
    <t>PROFISSIONAIS SUPERVISORES</t>
  </si>
  <si>
    <t>Engenheiro Civil ou Arquiteto (CBO 2142-05 / CBO 2141-05)</t>
  </si>
  <si>
    <t>Engenheiro Eletricista (CBO 2143-05)</t>
  </si>
  <si>
    <t>QUANT. HORAS/MÊS</t>
  </si>
  <si>
    <t>QUANT. HORAS/ANO</t>
  </si>
  <si>
    <t>VALOR HORA (R$)</t>
  </si>
  <si>
    <t>VALOR TOTAL ANUAL (R$)</t>
  </si>
  <si>
    <t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no Pregão Eletrônico nº 1/2023, promovido pela Procuradoria da República no Pará, como segue:</t>
  </si>
  <si>
    <t>A: VALOR UNITÁRIO ANUAL</t>
  </si>
  <si>
    <t>PROFISSIONAIS RESIDENTES</t>
  </si>
  <si>
    <t>Oficial de manutenção predial - Sistemas hidrossanitário e civil (CBO 5143-25)</t>
  </si>
  <si>
    <t>Auxiliar de manutenção predial (CBO 5143-10)</t>
  </si>
  <si>
    <t>QUANT.</t>
  </si>
  <si>
    <t>QTD. HORAS/MÊS</t>
  </si>
  <si>
    <t>VALOR MÊS (R$)</t>
  </si>
  <si>
    <t>B: VALOR UNITÁRIO ANUAL</t>
  </si>
  <si>
    <t>Pedreiro (CBO 7152-10)</t>
  </si>
  <si>
    <t>Pintor (CBO 7166-10)</t>
  </si>
  <si>
    <t>Gesseiro (CBO 7164-05)</t>
  </si>
  <si>
    <t>Marceneiro (CBO 7711-05)</t>
  </si>
  <si>
    <t>Serralheiro (CBO 7244-40)</t>
  </si>
  <si>
    <t>Vidraceiro (CBO 7163-05)</t>
  </si>
  <si>
    <t>Bombeiro hidráulico (CBO 7241-10)</t>
  </si>
  <si>
    <t>Eletricista de manutenção (CBO 9511-05)</t>
  </si>
  <si>
    <t>PROFISSIONAIS POR DEMAMDA</t>
  </si>
  <si>
    <t>C: VALOR UNITÁRIO ANUAL</t>
  </si>
  <si>
    <t>Estimativa Anual sem desconto para o Órgão. Incluso BDI de referência.</t>
  </si>
  <si>
    <t>Percentual de Desconto sobre a Estimativa Anual %</t>
  </si>
  <si>
    <t>Valor Anual
Estimado com desconto para o Órgão. Incluso BDI de referência.</t>
  </si>
  <si>
    <t>Fornecimento de materiais e prestação de serviços por ressarcimento</t>
  </si>
  <si>
    <t>O valor total anual da proposta é de R$ xxxxxxxxx (xxxxxxxxxxxx por extenso)</t>
  </si>
  <si>
    <t>Fornecimento de materiais para reposição e adaptação (ANEXO I).</t>
  </si>
  <si>
    <t>Estimativa anual sem desconto para o Órgão. Incluso BDI de referência.</t>
  </si>
  <si>
    <t>MINISTÉRIO PÚBLICO FEDERAL</t>
  </si>
  <si>
    <t>BONIFICAÇÃO E DESPESAS INDIRETAS - BDI</t>
  </si>
  <si>
    <t>Desonerado</t>
  </si>
  <si>
    <t>DISCRIMINAÇÃO</t>
  </si>
  <si>
    <t>TAXA (%)</t>
  </si>
  <si>
    <t>ADMINISTRAÇÃO CENTRAL (AC)</t>
  </si>
  <si>
    <t>SEGUROS E GARANTIAS (S+G)</t>
  </si>
  <si>
    <t>RISCOS (R)</t>
  </si>
  <si>
    <t>DESPESAS FINANCEIRAS (DF)</t>
  </si>
  <si>
    <t>LUCRO (L)</t>
  </si>
  <si>
    <t>TRIBUTOS (T)*</t>
  </si>
  <si>
    <t>*Detalhamento dos TRIBUTOS (T):</t>
  </si>
  <si>
    <t>COFINS</t>
  </si>
  <si>
    <t>Total TRIBUTOS</t>
  </si>
  <si>
    <t>BDI calculado pela expressão:</t>
  </si>
  <si>
    <t>BDI=(((1+(AC+S+G+R))x(1+DF)x(1+L))/(1-T))-1</t>
  </si>
  <si>
    <t>PROCURADORIA DA REPÚBLICA NO PARÁ</t>
  </si>
  <si>
    <t>MODELO DE PLANILHA DE COMPOSIÇÃO DAS BONIFICAÇÕES E DESPESAS INDIRETAS (BDI)</t>
  </si>
  <si>
    <t xml:space="preserve">Sr. LICITANTE: Campos marcados em "amarelo" podem ser editados. </t>
  </si>
  <si>
    <t>TOTAL GERAL</t>
  </si>
  <si>
    <t>BDI</t>
  </si>
  <si>
    <t>SOMA TOTAL</t>
  </si>
  <si>
    <t>SINAPI -511</t>
  </si>
  <si>
    <t>L</t>
  </si>
  <si>
    <t>PRIME PARA IMPRIMAÇÃO, LATA DE 18 LITROS. REF: IMPERMANTA PRIMER. FABRICANTE DENVER IMPERMEABILIZANTES OU EQUIVALENTE.</t>
  </si>
  <si>
    <t>SINAPI – 377</t>
  </si>
  <si>
    <t>ASSENTO SANITÁRIO EM PLÁSTICO</t>
  </si>
  <si>
    <t>SINAPI -10556</t>
  </si>
  <si>
    <t>SINAPI -39416</t>
  </si>
  <si>
    <t>SINAPI -39412</t>
  </si>
  <si>
    <t>M²</t>
  </si>
  <si>
    <t>SINAPI -38181</t>
  </si>
  <si>
    <t>PISO TATIL, TIPO DIRECIONAL EM PVC</t>
  </si>
  <si>
    <t>PISO TATIL, TIPO ALERTA EM PVC</t>
  </si>
  <si>
    <t>SINAPI -36178</t>
  </si>
  <si>
    <t>PISO TATIL, TIPO DIRECIONAL EM CONCRETO</t>
  </si>
  <si>
    <t>PISO TÁTIL, TIPO ALERTA EM CONCRETO</t>
  </si>
  <si>
    <t>SINAPI -39427</t>
  </si>
  <si>
    <t>M</t>
  </si>
  <si>
    <t>PERFIL PARA FORRO DE GESSO ACARTONADO, TIPO CANALETA, 70X20, FABRICADO EM AÇO GALVANIZADO, COM ESPESSURA DE 0,50MM, BARA MEDINDO 3 METROS.</t>
  </si>
  <si>
    <t>SINAPI -39421</t>
  </si>
  <si>
    <t>MONTANTE GALVANIZADO FORMATO “C” PARA PAREDE DRY WALL, COM 3,00 M – REF. M75, FAB. LAFARGE GYPSUM OU EQUIVALENTE.</t>
  </si>
  <si>
    <t>SINAPI -11499</t>
  </si>
  <si>
    <t>SINAPI -43626</t>
  </si>
  <si>
    <t>KG</t>
  </si>
  <si>
    <t>MASSA CORRIDA PVA, REFERÊNCIA: SHERWIN WILLIANS, SUVINIL, CORAL OU EQUIVALENTE, EMBALAGEM: LATA COM 25 KG. DEVERÁ APRESENTAR AS SEGUITNES CARACTERÍSTICAS TÉCNICAS MÍNIMAS; RENDIMENTO 40 M2/LATA 18L/DEMÃO; SÓLIDOS POR PESO 65%; SÓLIDOS POR VOLUME 42%.</t>
  </si>
  <si>
    <t>SINAPI -43651</t>
  </si>
  <si>
    <t>MASSA ACRÍLICA, GALÃO COM 6 KG – REF. METALATEX, MARCA SHERWIN WILLIANS OU EQUIVALENTE</t>
  </si>
  <si>
    <t>SINAPI -4015</t>
  </si>
  <si>
    <t>MANTA ASFÁLTICA, EM ASFALTO MODIFCADO, COM ACABAMENTO EM POLIURETANO, ROLO DE 10M X 1M X 4 MM</t>
  </si>
  <si>
    <t>SINAPI -39422</t>
  </si>
  <si>
    <t>SINAPI -39431</t>
  </si>
  <si>
    <t>FITA PARA GESSO ACARTONADO, FABRICADO COM PAPEL MICROPERFURADO, ROLO COM 150 METROS – REFERENCIA: JT, FABRICANTE: GYPSUM OU EQUIVALENTE</t>
  </si>
  <si>
    <t>SINAPI -39432</t>
  </si>
  <si>
    <t>FITA PARA GESSO ACARTONADO, COMPOSTA POR DUAS CINTAS METÁLICAS, APLICADAS SOBRE PAPEL MICROPERFURADO, ROLO COM 30 METROS</t>
  </si>
  <si>
    <t>COTAÇÃO</t>
  </si>
  <si>
    <t>FITA ANTIDERRAPANTE, NA COR PRETA, FABRICANTE: 3M, MODELO DE REFERÊNCIA: SAFETY WALK, LINHA DE USO GERAL. ROLO COM 20M X 5CM.</t>
  </si>
  <si>
    <t>SINAPI -3099</t>
  </si>
  <si>
    <t>SINAPI -38152</t>
  </si>
  <si>
    <t>SINAPI -3093</t>
  </si>
  <si>
    <t>SINAPI -2432</t>
  </si>
  <si>
    <t>SINAPI -39572</t>
  </si>
  <si>
    <t>BANCO DE DADOS</t>
  </si>
  <si>
    <t>QTD.</t>
  </si>
  <si>
    <t>LISTA DE REPOSIÇÃO DE MATERIAIS DIVERSOS</t>
  </si>
  <si>
    <t>SINAPI -6150</t>
  </si>
  <si>
    <t>SIFÃO METAL TIPO COPO 1.1/2 X 2”</t>
  </si>
  <si>
    <t>SINAPI -6136</t>
  </si>
  <si>
    <t>SIFÃO METAL TIPO COPO 1 X 1.1/2”</t>
  </si>
  <si>
    <t>SINAPI -38637</t>
  </si>
  <si>
    <t>SIFÃO METAL TIPO COPO 1.1/2 X 1.1/2”</t>
  </si>
  <si>
    <t>SINAPI -9873</t>
  </si>
  <si>
    <t>TUBO EM PVC MARROM SOLDÁVEL, DN 60
MM, BARRA 06 METROS, LINHA ÁGUA FRIA - ABNT NBR 5648 - REF. TIGRE, AMANCO OU EQUIVALENTE</t>
  </si>
  <si>
    <t>SINAPI -9875</t>
  </si>
  <si>
    <t>TUBO EM PVC MARROM SOLDÁVEL, DN 50
MM, BARRA 06 METROS, LINHA ÁGUA FRIA - ABNT NBR 5648 - REF. TIGRE, AMANCO OU EQUIVALENTE</t>
  </si>
  <si>
    <t>SINAPI -9869</t>
  </si>
  <si>
    <t>TUBO EM PVC MARROM SOLDÁVEL, DN 32
MM, BARRA 06 METROS, LINHA ÁGUA FRIA - ABNT NBR 5648 - REF. TIGRE, AMANCO OU EQUIVALENTE</t>
  </si>
  <si>
    <t>SINAPI -9868</t>
  </si>
  <si>
    <t>TUBO EM PVC MARROM SOLDÁVEL, DN 25MM, BARRA 06 METROS,  LINHA ÁGUA FRIA - ABNT NBR 5648 - REF. TIGRE, AMANCO OU EQUIVALENTE</t>
  </si>
  <si>
    <t>SINAPI -9836</t>
  </si>
  <si>
    <t>TUBO EM PVC BRANCO, TIPO PONTA E BOLSA, DN 100 MM, BARRA COM 6 METROS – LINHA ESGOTO - ABNT NBR 5688 - REF. TIGRE, AMANCO OU EQUIVALENTE</t>
  </si>
  <si>
    <t>SINAPI -1370</t>
  </si>
  <si>
    <t>SINAPI -13417</t>
  </si>
  <si>
    <t>SINAPI -13983</t>
  </si>
  <si>
    <t>SINAPI -36796</t>
  </si>
  <si>
    <t>SINAPI -7143</t>
  </si>
  <si>
    <t>TÊ EM PVC MARROM SOLDÁVEL, DN 60 MM – LINHA ÁGUA FRIA – ABNT NBR 5648 – REF. TIGRE, AMANCO OU EQUIVALENTE</t>
  </si>
  <si>
    <t>SINAPI -7142</t>
  </si>
  <si>
    <t>TÊ EM PVC MARROM SOLDÁVEL, DN 50 MM – LINHA ÁGUA FRIA – ABNT NBR 5648 – REF. TIGRE, AMANCO OU EQUIVALENTE</t>
  </si>
  <si>
    <t>SINAPI -7141</t>
  </si>
  <si>
    <t>TÊ EM PVC MARROM SOLDÁVEL, DN 40 MM – LINHA ÁGUA FRIA – ABNT NBR 5648 – REF. TIGRE, AMANCO OU EQUIVALENTE</t>
  </si>
  <si>
    <t>SINAPI -7140</t>
  </si>
  <si>
    <t>TÊ EM PVC MARROM SOLDÁVEL, DN 32 MM – LINHA ÁGUA FRIA – ABNT NBR 5648 – REF. TIGRE, AMANCO OU EQUIVALENTE</t>
  </si>
  <si>
    <t>SINAPI -7139</t>
  </si>
  <si>
    <t>TÊ EM PVC MARROM SOLDÁVEL, DN 25 MM – LINHA ÁGUA FRIA – ABNT NBR 5648 – REF. TIGRE, AMANCO OU EQUIVALENTE</t>
  </si>
  <si>
    <t>SINAPI -6005</t>
  </si>
  <si>
    <t>REGISTRO DE ESFERA, PASSAGEM PLENA, COM ALAVANCA, EM LIGA DE COBRE (BRONZE E LATÃO), CLASSE DE PRESSÃO 2 A 140 MCA, DN 3/4", ABNT NRB 14788. REF: DECA 1552.B.034 OU EQUIVALENTE</t>
  </si>
  <si>
    <t>SINAPI -6028</t>
  </si>
  <si>
    <t>REGISTRO DE ESFERA, PASSAGEM PLENA, COM ALAVANCA, EM LIGA DE COBRE (BRONZE E LATÃO), CLASSE DE PRESSÃO 2 A 140 MCA, DN 2", ABNT NRB 14788. REF: DECA 1552.B.200 OU EQUIVALENTE</t>
  </si>
  <si>
    <t>SINAPI -6019</t>
  </si>
  <si>
    <t>REGISTRO DE ESFERA, PASSAGEM PLENA, COM ALAVANCA, EM LIGA DE COBRE (BRONZE E LATÃO), CLASSE DE PRESSÃO 2 A 140 MCA, DN 1", ABNT NRB 14788. REF: DECA 1552.B.100 OU EQUIVALENTE</t>
  </si>
  <si>
    <t>SINAPI -4896</t>
  </si>
  <si>
    <t>PLUG ROSCÁVEL, EM PVC BRANCO, DN 3/4”, NORMA PeCP34, – LINHA ÁGUA FRIA - ABNT NBR 5648 - REF. TIGRE, AMANCO OU EQUIVALENTE</t>
  </si>
  <si>
    <t>PLUG ROSCÁVEL, EM PVC BRANCO, DN 1/2”, NORMA PeCP34, – LINHA ÁGUA FRIA - ABNT NBR 5648 - REF. TIGRE, AMANCO OU EQUIVALENTE</t>
  </si>
  <si>
    <t>SINAPI -11960</t>
  </si>
  <si>
    <t>PARAFUSO DE LATÃO 12MM, COM BUCHA PLÁSTICA S-12, PARA FIXAÇÃO DE TANQUE DE LAVAR. REF: DECA, VONDER OU EQUIVALENTE</t>
  </si>
  <si>
    <t>SINAPI -11955</t>
  </si>
  <si>
    <t>PARAFUSO DE LATÃO 10MM, COM BUCHA PLÁSTICA S-10, PARA FIXAÇÃO DE VASO SANITÁRIO. REF: DECA, VONDER OU EQUIVALENTE</t>
  </si>
  <si>
    <t>SINAPI -3899</t>
  </si>
  <si>
    <t>LUVA SIMPLES, EM PVC BRANCO, PONTA E BOLSA, DN 100MM – LINHA ESGOTO - ABNT NBR 5688 - REF. TIGRE, AMANCO OU EQUIVALENTE</t>
  </si>
  <si>
    <t>SINAPI -3864</t>
  </si>
  <si>
    <t>LUVA EM PVC MARROM SOLDÁVEL, DN 60 MM  - LINHA ÁGUA FRIA - ABNT NBR 5648 - REF. TIGRE, AMANCO OU EQUIVALENTE</t>
  </si>
  <si>
    <t>SINAPI -3863</t>
  </si>
  <si>
    <t>LUVA EM PVC MARROM SOLDÁVEL, DN 50 MM  - LINHA ÁGUA FRIA - ABNT NBR 5648 - REF. TIGRE, AMANCO OU EQUIVALENTE</t>
  </si>
  <si>
    <t>SINAPI -3862</t>
  </si>
  <si>
    <t>LUVA EM PVC MARROM SOLDÁVEL, DN 40 MM  - LINHA ÁGUA FRIA - ABNT NBR 5648 - REF. TIGRE, AMANCO OU EQUIVALENTE</t>
  </si>
  <si>
    <t>SINAPI -3903</t>
  </si>
  <si>
    <t>LUVA EM PVC MARROM SOLDÁVEL, DN 32 MM  - LINHA ÁGUA FRIA - ABNT NBR 5648 - REF. TIGRE, AMANCO OU EQUIVALENTE</t>
  </si>
  <si>
    <t>SINAPI -3904</t>
  </si>
  <si>
    <t>LUVA EM PVC MARROM SOLDÁVEL, DN 25 MM  - LINHA ÁGUA FRIA - ABNT NBR 5648 - REF. TIGRE, AMANCO OU EQUIVALENTE</t>
  </si>
  <si>
    <t>SINAPI -9910</t>
  </si>
  <si>
    <t>LUVA DE UNIÃO DN 60 MM EM PVC MARROM SOLDÁVEL - LINHA ÁGUA FRIA - ABNT NBR 5648 - REF. TIGRE, AMANCO OU EQUIVALENTE</t>
  </si>
  <si>
    <t>SINAPI -9897</t>
  </si>
  <si>
    <t>LUVA DE UNIÃO DN 50 MM EM PVC MARROM SOLDÁVEL - LINHA ÁGUA FRIA - ABNT NBR 5648 - REF. TIGRE, AMANCO OU EQUIVALENTE</t>
  </si>
  <si>
    <t>SINAPI -9894</t>
  </si>
  <si>
    <t>LUVA DE UNIÃO DN 40 MM EM PVC MARROM SOLDÁVEL - LINHA ÁGUA FRIA - ABNT NBR 5648 - REF. TIGRE, AMANCO OU EQUIVALENTE</t>
  </si>
  <si>
    <t>SINAPI -9895</t>
  </si>
  <si>
    <t>LUVA DE UNIÃO DN 32 MM EM PVC MARROM SOLDÁVEL - LINHA ÁGUA FRIA - ABNT NBR 5648 - REF. TIGRE, AMANCO OU EQUIVALENTE</t>
  </si>
  <si>
    <t>SINAPI -9906</t>
  </si>
  <si>
    <t>LUVA DE UNIÃO DN 25 MM EM PVC MARROM SOLDÁVEL - LINHA ÁGUA FRIA - ABNT NBR 5648 - REF. TIGRE, AMANCO OU EQUIVALENTE</t>
  </si>
  <si>
    <t>SINAPI -3850</t>
  </si>
  <si>
    <t>LUVA DE REDUÇÃO 60X50 MM EM PVC MARROM SOLDÁVEL - LINHA ÁGUA FRIA - ABNT NBR 5648 - REF. TIGRE, AMANCO OU EQUIVALENTE</t>
  </si>
  <si>
    <t>SINAPI -38023</t>
  </si>
  <si>
    <t>LUVA DE REDUÇÃO 50X25 MM EM PVC MARROM SOLDÁVEL - LINHA ÁGUA FRIA - ABNT NBR 5648 - REF. TIGRE, AMANCO OU EQUIVALENTE</t>
  </si>
  <si>
    <t>SINAPI -38022</t>
  </si>
  <si>
    <t>LUVA DE CORRER DN 60 MM EM PVC MARROM SOLDÁVEL - LINHA ÁGUA FRIA - ABNT NBR 5648 - REF. TIGRE, AMANCO OU EQUIVALENTE</t>
  </si>
  <si>
    <t>SINAPI -3847</t>
  </si>
  <si>
    <t>LUVA DE CORRER DN 50 MM EM PVC MARROM SOLDÁVEL - LINHA ÁGUA FRIA - ABNT NBR 5648 - REF. TIGRE, AMANCO OU EQUIVALENTE</t>
  </si>
  <si>
    <t>SINAPI -38021</t>
  </si>
  <si>
    <t>LUVA DE CORRER DN 32 MM EM PVC MARROM SOLDÁVEL - LINHA ÁGUA FRIA - ABNT NBR 5648 - REF. TIGRE, AMANCO OU EQUIVALENTE</t>
  </si>
  <si>
    <t>SINAPI -3873</t>
  </si>
  <si>
    <t>LUVA DE CORRER DN 25 MM EM PVC MARROM SOLDÁVEL - LINHA ÁGUA FRIA - ABNT NBR 5648 - REF. TIGRE, AMANCO OU EQUIVALENTE</t>
  </si>
  <si>
    <t>SINAPI -3539</t>
  </si>
  <si>
    <t>JOELHO EM PVC MARROM SOLDÁVEL, DN 60MM X 90º - LINHA ÁGUA FRIA - ABNT NBR 5648 - REF. TIGRE, AMANCO OU EQUIVALENTE</t>
  </si>
  <si>
    <t>SINAPI -3540</t>
  </si>
  <si>
    <t>JOELHO EM PVC MARROM SOLDÁVEL, DN 50MM X 90º - LINHA ÁGUA FRIA - ABNT NBR 5648 - REF. TIGRE, AMANCO OU EQUIVALENTE</t>
  </si>
  <si>
    <t>SINAPI -3535</t>
  </si>
  <si>
    <t>JOELHO EM PVC MARROM SOLDÁVEL, DN 40MM X 90º - LINHA ÁGUA FRIA - ABNT NBR 5648 - REF. TIGRE, AMANCO OU EQUIVALENTE</t>
  </si>
  <si>
    <t>SINAPI -3536</t>
  </si>
  <si>
    <t>JOELHO EM PVC MARROM SOLDÁVEL, DN 32 MM X 90º - LINHA ÁGUA FRIA - ABNT NBR 5648 - REF. TIGRE, AMANCO OU EQUIVALENTE</t>
  </si>
  <si>
    <t>SINAPI -3529</t>
  </si>
  <si>
    <t>JOELHO EM PVC MARROM SOLDÁVEL, DN 25 MM X 90º - LINHA ÁGUA FRIA - ABNT NBR 5648 - REF. TIGRE, AMANCO OU EQUIVALENTE</t>
  </si>
  <si>
    <t>CARRAPETA EM PLÁSTICO DN 3/4”, INCLUSO ARRUELA DE BORRACHA</t>
  </si>
  <si>
    <t>CARRAPETA EM PLÁSTICO DN 1/2”, INCLUSO ARRUELA DE BORRACHA</t>
  </si>
  <si>
    <t>SINAPI -1185</t>
  </si>
  <si>
    <t>CAP DN 25 MM EM PVC MARROM SOLDÁVEL – LINHA ÁGUA FRIA - ABNT NBR 5648 - REF. TIGRE, AMANCO OU EQUIVALENTE</t>
  </si>
  <si>
    <t>SINAPI -1194</t>
  </si>
  <si>
    <t>CAP 50 MM EM PVC MARROM SOLDÁVEL – LINHA ÁGUA FRIA - ABNT NBR 5648 - REF. TIGRE, AMANCO OU EQUIVALENTE</t>
  </si>
  <si>
    <t>SINAPI -00813</t>
  </si>
  <si>
    <t>BUCHA DE REDUÇÃO LONGA DN 50MM X 25MM EM PVC MARROM SOLDÁVEL – LINHA ÁGUA FRIA  - ABNT NBR 5648 - REF. TIGRE, AMANCO OU EQUIVALENTE</t>
  </si>
  <si>
    <t>SINAPI -00818</t>
  </si>
  <si>
    <t>BUCHA DE REDUÇÃO CURTA, EM PVC MARROM SOLDÁVEL, DN 60MM X 50MM – LINHA ÁGUA FRIA  - ABNT NBR 5648 - REF. TIGRE, AMANCO OU EQUIVALENTE</t>
  </si>
  <si>
    <t>SINAPI -00816</t>
  </si>
  <si>
    <t>BUCHA DE REDUÇÃO LONGA, EM PVC MARROM SOLDÁVEL, DN 60MM X 25MM – LINHA ÁGUA FRIA  - ABNT NBR 5648 - REF. TIGRE, AMANCO OU EQUIVALENTE</t>
  </si>
  <si>
    <t>SINAPI -00812</t>
  </si>
  <si>
    <t>BUCHA DE REDUÇÃO CURTA, EM PVC MARROM SOLDÁVEL, DN 40MM X 32MM – LINHA ÁGUA FRIA  - ABNT NBR 5648 - REF. TIGRE, AMANCO OU EQUIVALENTE</t>
  </si>
  <si>
    <t>SINAPI -00829</t>
  </si>
  <si>
    <t>BUCHA DE REDUÇÃO CURTA, EM PVC MARROM SOLDÁVEL, DN 32MM X 25MM – LINHA ÁGUA FRIA  - ABNT NBR 5648 - REF. TIGRE, AMANCO OU EQUIVALENTE</t>
  </si>
  <si>
    <t>SINAPI -00301</t>
  </si>
  <si>
    <t>ANEL DE VEDAÇÃO PARA ESGOTO, EM BORRACHA, DN 100MM - ABNT NBR 5688 - REF: TIGRE OU EQUIVALENTE</t>
  </si>
  <si>
    <t>SINAPI -00113</t>
  </si>
  <si>
    <t>ADAPTADOR EM PVC MARROM, SOLDÁVEL CURTO BOLSA E ROSCA PARA REGISTRO, DN 60MM X 2” - LINHA ÁGUA FRIA - ABNT NBR 5648 - REF. TIGRE, AMANCO OU EQUIVALENTE</t>
  </si>
  <si>
    <t>SINAPI -00112</t>
  </si>
  <si>
    <t>ADAPTADOR EM PVC MARROM, SOLDÁVEL CURTO BOLSA E ROSCA PARA REGISTRO, DN 50MM X 1 1/2” - ABNT NBR 5648 - REF. TIGRE, AMANCO OU EQUIVALENTE</t>
  </si>
  <si>
    <t>SINAPI -00108</t>
  </si>
  <si>
    <t>ADAPTADOR EM PVC MARROM, SOLDÁVEL CURTO BOLSA E ROSCA PARA REGISTRO, DN 32MM X 1 POL – ABNT NBR 5648 – REF. TIGRE, AMANCO OU EQUIVALENTE</t>
  </si>
  <si>
    <t>SINAPI -00065</t>
  </si>
  <si>
    <t>ADAPTADOR EM PVC MARROM, SOLDÁVEL CURTO BOLSA E ROSCA PARA REGISTRO, DN 25MM X 3/4” - LINHA ÁGUA FRIA - ABNT NBR 5648 - REF. TIGRE, AMANCO OU EQUIVALENTE</t>
  </si>
  <si>
    <t>LISTA DE REPOSIÇÃO DE MATERIAIS HIDRÁULICOS</t>
  </si>
  <si>
    <t>SINAPI -38092</t>
  </si>
  <si>
    <t>SINAPI -38093</t>
  </si>
  <si>
    <t>SINAPI -38091</t>
  </si>
  <si>
    <t>SINAPI -38095</t>
  </si>
  <si>
    <t>SINAPI – 38774</t>
  </si>
  <si>
    <t>LÂMPADA DE EMERGÊNCIA 30 LEDS, POTÊNCIA 2 W, BATERIA DE LÍTIO, AUTONOMIA DEV 6 HORAS</t>
  </si>
  <si>
    <t>UND</t>
  </si>
  <si>
    <t>CAPA PARA CONECTOR RJ 45</t>
  </si>
  <si>
    <t>CONECTOR RJ 45</t>
  </si>
  <si>
    <t>CABO DE REDE CAT 6</t>
  </si>
  <si>
    <t>LISTA DE REPOSIÇÃO DE MATERIAIS ELÉTRICOS</t>
  </si>
  <si>
    <r>
      <t xml:space="preserve">A. Planilha de composição do </t>
    </r>
    <r>
      <rPr>
        <b/>
        <u/>
        <sz val="11"/>
        <color rgb="FF000000"/>
        <rFont val="Arial"/>
        <family val="2"/>
      </rPr>
      <t>BDI SERVIÇOS</t>
    </r>
  </si>
  <si>
    <r>
      <t xml:space="preserve">NÃO </t>
    </r>
    <r>
      <rPr>
        <sz val="10"/>
        <color rgb="FF000000"/>
        <rFont val="Arial"/>
        <family val="2"/>
      </rPr>
      <t>desonerado</t>
    </r>
  </si>
  <si>
    <r>
      <t xml:space="preserve">BDI ADOTADO PELO LICITANTE
</t>
    </r>
    <r>
      <rPr>
        <sz val="10"/>
        <color rgb="FFFF0000"/>
        <rFont val="Arial"/>
        <family val="2"/>
      </rPr>
      <t>(calculado automaticamente conforme valores digitados nos campos em "amarelo"
 adotando-se a expressão de cálculo especificada abaixo)</t>
    </r>
  </si>
  <si>
    <r>
      <t>CPRB</t>
    </r>
    <r>
      <rPr>
        <sz val="9"/>
        <color rgb="FF000000"/>
        <rFont val="Arial"/>
        <family val="2"/>
      </rPr>
      <t xml:space="preserve"> (informar "0" se </t>
    </r>
    <r>
      <rPr>
        <b/>
        <sz val="9"/>
        <color rgb="FF000000"/>
        <rFont val="Arial"/>
        <family val="2"/>
      </rPr>
      <t xml:space="preserve">NÃO </t>
    </r>
    <r>
      <rPr>
        <sz val="9"/>
        <color rgb="FF000000"/>
        <rFont val="Arial"/>
        <family val="2"/>
      </rPr>
      <t>desonerado)</t>
    </r>
  </si>
  <si>
    <r>
      <t>ISS</t>
    </r>
    <r>
      <rPr>
        <sz val="9"/>
        <color rgb="FF000000"/>
        <rFont val="Arial"/>
        <family val="2"/>
      </rPr>
      <t xml:space="preserve"> (Conform</t>
    </r>
    <r>
      <rPr>
        <sz val="10"/>
        <color rgb="FF000000"/>
        <rFont val="Arial"/>
        <family val="2"/>
      </rPr>
      <t>e legislação tributária municipal, a alíquota máxima do ISS é 5%)</t>
    </r>
  </si>
  <si>
    <t>Cálculo do BDI</t>
  </si>
  <si>
    <t>VALOR UNITÁRIO</t>
  </si>
  <si>
    <t>VALOR TOTAL</t>
  </si>
  <si>
    <t>SOQUETE DE PORCELANA TIPO E-27. REF.: TRAMONTINA 5799090</t>
  </si>
  <si>
    <t>SINAPI -12294</t>
  </si>
  <si>
    <t>PLACA (ESPELHO) CEGA, FABRICADO EM TERMOPLÁSTICO ISOLANTE, RESISTENTE A ALTO IMPACTO E PROTEGIDO CONTRA AMARELAMENTO, TAMANHO 4x2 POL, COM PARAFUSOS PARA FIXAÇÃO, COR BRANCA, CONFORME PADRÃO EXISTENTE.</t>
  </si>
  <si>
    <t>PLACA (ESPELHO) CEGO, FABRICADO EM TERMOPLÁSTICO ISOLANTE, RESISTENTE A ALTO IMPACTO E PROTEGIDO CONTRA AMARELAMENTO, TAMANHO 4x4 POL, COM PARAFUSOS PARA FIXAÇÃO, COR BRANCA, CONFORME PADRÃO EXISTENTE.</t>
  </si>
  <si>
    <t>PLACA (ESPELHO) COM 1 (UM) POSTO HORIZONTAL, FABRICADO EM TERMOPLÁSTICO ISOLANTE, RESISTENTE A ALTO IMPACTO E PROTEGIDO CONTRA AMARELAMENTO, TAMANHO 4x2 POL, COM PARAFUSOS PARA FIXAÇÃO, COR BRANCA, CONFORME PADRÃO EXISTENTE.</t>
  </si>
  <si>
    <t>PLACA (ESPELHO) COM 2 (DOIS) POSTOS HORIZONTAIS, FABRICADO EM TERMOPLÁSTICO ISOLANTE, RESISTENTE A ALTO IMPACTO E PROTEGIDO CONTRA AMARELAMENTO, TAMANHO 4x2 POL, COM PARAFUSOS PARA FIXAÇÃO, COR BRANCA, CONFORME PADRÃO EXISTENTE.</t>
  </si>
  <si>
    <t>MÓDULO INTERRUPTOR, COR BRANCA, 10A, 220V, TERMOPLÁSTICO ISOLANTE, CONFORME PADRÃO EXISTENTE.</t>
  </si>
  <si>
    <t>SINAPI -38112</t>
  </si>
  <si>
    <t>MÓDULO TOMADA, COR BRANCA, 10A, 220V, TERMOPLÁSTICO ISOLANTE, NOVO PADRÃO BRASILEIRO, CONFORME PADRÃO EXISTENTE.</t>
  </si>
  <si>
    <t>SINAPI -38101</t>
  </si>
  <si>
    <t>MÓDULO TOMADA, COR VERMELHA, 10A, 220V, TERMOPLÁSTICO ISOLANTE, NOVO PADRÃO BRASILEIRO, CONFORME PADRÃO EXISTENTE.</t>
  </si>
  <si>
    <t>SINAPI -1014</t>
  </si>
  <si>
    <t>PLUGUE MACHO 2P+T (NBR 14.136:2002), 10A, 250V, COR BRANCA, PRODUZIDO EM TERMOPLÁSTICO ANTICHAMA, COM COMPONENTES CONDUTORES E PINO MACIÇO EM LIGA DE COBRE. REF.: TRAMONTINA 57402003</t>
  </si>
  <si>
    <t>PLUGUE FÊMEA 2P+T (NBR 14.136:2002), 10A, 250V, COR BRANCA, PRODUZIDO EM TERMOPLÁSTICO ANTICHAMA, COM COMPONENTES CONDUTORES E PINO MACIÇO EM LIGA DE COBRE. REF.: TRAMONTINA 57402053</t>
  </si>
  <si>
    <t>FILTRO DE LINHA COM 4 TOMADAS 2P+T 10A/250V (NBR 14136:2002). CABO DE FORÇA 3x0,75MM² COM COMPRIMENTO MÍNIMO DE 1,3M E PLUGUE 2P+T 10A/250V (NBR 14136:2002). PROTEÇÃO COM CHAVE DISJUNTORA (OPERAÇÃO LIVRE DE FUSÍVEL). TENSÃO DE OPERAÇÃO 127/220V (BIVOLT). POTÊNCIA MÁXIMA DE 1.270W (127V) e 2.200W (220V). CHAVE DE LIGA/DESLIGA. LED INDICADOR DE FUNCIONAMENTO. REF.: DANEVA DN1642</t>
  </si>
  <si>
    <t>CABO DE COBRE FLEXÍVEL (CONDUTOR ISOLADO), SEÇÃO DE 2,5MM², 450V/750V, COR VERDE,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</si>
  <si>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AZUL,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</si>
  <si>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VERMELHA,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</si>
  <si>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PRETA,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</si>
  <si>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BRANCA, ISOLAÇÃO DE PVC, CLASSE DE ENCORDOAMENTO 5 (EXTRA FLEXÍVEL), RESISTÊNCIA MÁXIMA DE 8,0 OHMS/KM A 20° CELSIUS, ATENDIMENTO ÀS NORMAS NBR NM280 E NBR NM 247-3. REF.: PRYSMIAN SUPERASTIC FLEX.</t>
  </si>
  <si>
    <r>
      <rPr>
        <sz val="11"/>
        <color rgb="FF000000"/>
        <rFont val="Arial"/>
        <family val="2"/>
      </rPr>
      <t xml:space="preserve">PLACA DE DRYWALL, STANDARDS (ST) e= 10 MM EM GESSO ACARTONADO.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</si>
  <si>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FORRO e= 12,5 MM EM GESSO ACARTONADO. </t>
    </r>
    <r>
      <rPr>
        <sz val="11"/>
        <color rgb="FFFF0000"/>
        <rFont val="Arial"/>
        <family val="2"/>
      </rPr>
      <t>CONFORME PADRÃO EXISTENTE PRM.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</si>
  <si>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DRYWALL, RESISTENTE A UMIDADE EM GESSO ACARTONADO, COR VERDE, e= 12,5 MM.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</si>
  <si>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PORTA DE MADEIRA.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</si>
  <si>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t>REPARO DESCARGA ACOPLADA</t>
  </si>
  <si>
    <t>SINAPI – 38194</t>
  </si>
  <si>
    <t>LAMPADA LED 10 W BIVOLT TRADICIONAL</t>
  </si>
  <si>
    <t>SINAPI – 39390</t>
  </si>
  <si>
    <t>LUMINÁRIA LED PLAFON RETANGULAR DE 40W</t>
  </si>
  <si>
    <r>
      <rPr>
        <sz val="10"/>
        <color rgb="FF000000"/>
        <rFont val="Arial"/>
        <family val="2"/>
      </rPr>
      <t>CABO DE COBRE FLEXÍVEL TIPO "PP" COM 3 CONDUTORES DE SEÇÃO DE 2,5MM² (3x2,5MM²), TENSÃO NOMINAL DE 300V/500V, COBERTURA E ISOLAÇÃO DE PVC, CLASSE DE ENCORDOAMENTO 5 (EXTRA FLEXÍVEL), RESISTÊNCIA MÁXIMA DE 8,0 OHMS/KM A 20° CELSIUS, ATENDIMENTO ÀS NORMAS NBR NM280 E</t>
    </r>
    <r>
      <rPr>
        <sz val="10"/>
        <rFont val="Arial"/>
        <family val="2"/>
      </rPr>
      <t xml:space="preserve"> NBR NM 247-5</t>
    </r>
    <r>
      <rPr>
        <sz val="10"/>
        <color rgb="FF000000"/>
        <rFont val="Arial"/>
        <family val="2"/>
      </rPr>
      <t>. REF.: PRYSMIAN SUPERASTIC FLEX.</t>
    </r>
  </si>
  <si>
    <r>
      <t xml:space="preserve">GRELHA ESCAMOTEÁVEL EM AÇO INOX COM CAIXILHO PARA RALO. </t>
    </r>
    <r>
      <rPr>
        <sz val="11"/>
        <color rgb="FFFF0000"/>
        <rFont val="Arial"/>
        <family val="2"/>
      </rPr>
      <t>CONFORME PADRÃO EXISTENTE PRM</t>
    </r>
  </si>
  <si>
    <r>
      <t>TORNEIRA DE MESA PARA LAVATÓRIO.</t>
    </r>
    <r>
      <rPr>
        <sz val="11"/>
        <color rgb="FFFF0000"/>
        <rFont val="Arial"/>
        <family val="2"/>
      </rPr>
      <t xml:space="preserve"> CONFORME PADRÃO EXISTENTE PRM</t>
    </r>
  </si>
  <si>
    <r>
      <rPr>
        <sz val="10"/>
        <color rgb="FF000000"/>
        <rFont val="Arial"/>
        <family val="2"/>
      </rPr>
      <t xml:space="preserve">TORNEIRA PARA PIA DE COZINHA.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</si>
  <si>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TORNEIRA PARA TANQUE.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</si>
  <si>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DUCHA HIGIÊNICA.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</si>
  <si>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CANTONEIRA GALVANIZADA PRA FORRO DE GESSO.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</si>
  <si>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CREMALHEIRA DENTADA PARA PORTÃO ELETRÔNICO.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</si>
  <si>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DOBRADIÇA PARA PORTA DE MADEIRA.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</si>
  <si>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DOBRADIÇA INFERIOR PARA PORTA DE VIDRO.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</si>
  <si>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DOBRADIÇA SUPERIOR PARA PORTA DE VIDRO.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</si>
  <si>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FECHADURA COM MAÇANETA – INTERNA.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</si>
  <si>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FECHADURA COM MAÇANETA – EXTERNA.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</si>
  <si>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FECHADURA COM MAÇANETA – BANHEIRO.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</si>
  <si>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GUIA GALVANIZADA FORMATO “U’ PARA PAREDE – DRY WALL. </t>
    </r>
    <r>
      <rPr>
        <sz val="10"/>
        <color rgb="FFFF0000"/>
        <rFont val="Arial"/>
        <family val="2"/>
      </rPr>
      <t>CONFORME PADRÃO EXISTENTE PRM</t>
    </r>
  </si>
  <si>
    <r>
      <rPr>
        <sz val="11"/>
        <color rgb="FF000000"/>
        <rFont val="Arial"/>
        <family val="2"/>
      </rPr>
      <t xml:space="preserve">MOLA HIDRÁULICA, DE PISO, PARA PORTA DE VIDRO.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</si>
  <si>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t>ANEXO I.4 - Altamira</t>
  </si>
  <si>
    <t>ANEXO II – MODELO DE PROPOSTA E PLANILHA DE CUSTOS E FORMAÇÃO DO VALOR ESTIMADO</t>
  </si>
  <si>
    <t xml:space="preserve">OS PERCENTUAIS PROPOSTOS PARA O DESCONTO (CASO CONCEDIDO), APLICAR-SE-ÃO A TODOS ITENS DE RESSARCIMENTO DE SERVIÇOS/MATERIAIS INCLUÍDOS NA PROPOSTA E, TAMBÉM, A ITENS DE RESSARCIMENTO QUE VENHAM A SER INCLUÍDOS POSTERIORMENTE. </t>
  </si>
  <si>
    <t>NA PROPOSTA, SERÁ FACULTADO O PREENCHIMENTO DO "PERCENTUAL DE DESCONTO SOBRE A ESTIMATIVA ANUAL" . CASO DEIXE EM BRANCO, SERÁ CONSIDERADO ZERO.</t>
  </si>
  <si>
    <t>NAS PLANILHAS DE FORMAÇÃO DE PREÇOS PARA A MÃO DE OBRA RESIDENTE A EMPRESA APRESENTARÁ DE FORMA DETALHADA OS ITENS QUE COMPÕEM O "VALOR MENSAL" PARA CADA POSTO</t>
  </si>
  <si>
    <t>DATA:</t>
  </si>
  <si>
    <t>CUSTOS REFERENTES AO POSTO</t>
  </si>
  <si>
    <t>DISCRIMINAÇÃO DOS SERVIÇOS (DADOS REFERENTES À CONTRATAÇÃO)</t>
  </si>
  <si>
    <t>A</t>
  </si>
  <si>
    <t>Data de Apresentação da Proposta (DD/MM/AAAA)</t>
  </si>
  <si>
    <t>B</t>
  </si>
  <si>
    <t>Local de Execução (Sede, Anexo I ou II, PTM, PRM)</t>
  </si>
  <si>
    <t>C</t>
  </si>
  <si>
    <t>Acordo, Conv. ou Sentença Normativa em Dissídio Coletivo (MM/AAAA)</t>
  </si>
  <si>
    <t xml:space="preserve">PA000826/2022 </t>
  </si>
  <si>
    <t>D</t>
  </si>
  <si>
    <t>Número de Meses de Execução Contratual</t>
  </si>
  <si>
    <t>E</t>
  </si>
  <si>
    <t>Quantidade de Postos</t>
  </si>
  <si>
    <t>CUSTOS POR EMPREGADO</t>
  </si>
  <si>
    <t>Tipo de Serviço (mesmo serviço com características distintas)</t>
  </si>
  <si>
    <t>Oficial de manutenção</t>
  </si>
  <si>
    <t>Classificação Brasileira de Ocupações (CBO)</t>
  </si>
  <si>
    <t>5143-25</t>
  </si>
  <si>
    <t>Categoria Profissional (vinculada à execução contratual)</t>
  </si>
  <si>
    <t>Data-Base da Categoria (DD/MM/AAAA)</t>
  </si>
  <si>
    <t>PLANILHA DE CUSTOS E FORMAÇÃO DE PREÇOS</t>
  </si>
  <si>
    <t>EMPREGADOS POR POSTO</t>
  </si>
  <si>
    <t>MÓDULO 1: COMPOSIÇÃO DA REMUNERAÇÃO</t>
  </si>
  <si>
    <t>Composição da Remuneração</t>
  </si>
  <si>
    <t>Valor (R$)</t>
  </si>
  <si>
    <t>Salário-Base</t>
  </si>
  <si>
    <t>Adicional de Periculosidade</t>
  </si>
  <si>
    <t>Adicional Noturno</t>
  </si>
  <si>
    <t>Adicional de Hora Noturna Reduzida (em %)</t>
  </si>
  <si>
    <t>Adicional de Insalubridade</t>
  </si>
  <si>
    <t>F</t>
  </si>
  <si>
    <t>G</t>
  </si>
  <si>
    <t>H</t>
  </si>
  <si>
    <t>TOTAL</t>
  </si>
  <si>
    <t>MÓDULO 2: ENCARGOS E BENEFÍCIOS ANUAIS, MENSAIS E DIÁRIOS</t>
  </si>
  <si>
    <t>Submódulo 2.1 - 13º (décimo terceiro) Salário e Adicional de Férias</t>
  </si>
  <si>
    <t>2.1</t>
  </si>
  <si>
    <t>13º Salário e Adicional de Férias</t>
  </si>
  <si>
    <t>%</t>
  </si>
  <si>
    <t>13º Salário</t>
  </si>
  <si>
    <t>Adicional de Férias</t>
  </si>
  <si>
    <t>Submódulo 2.2 - Encargos Previdencários (GPS), Fundo de Garantia por Tempo de Serviço (FGTS) e Outras Contribuições</t>
  </si>
  <si>
    <t>2.2</t>
  </si>
  <si>
    <t>Encargos Previdenciários (GPS), Fundo de Garantia por Tempo de Serviço (FGTS) e outras contribuições</t>
  </si>
  <si>
    <t>INSS</t>
  </si>
  <si>
    <t>Salário Educação</t>
  </si>
  <si>
    <t>Riscos Ambientas do Trabalho</t>
  </si>
  <si>
    <t>SESC</t>
  </si>
  <si>
    <t>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</si>
  <si>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</si>
  <si>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</si>
  <si>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</si>
  <si>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</si>
  <si>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</si>
  <si>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</si>
  <si>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Transporte</t>
  </si>
  <si>
    <t>Auxílio-Refeição/Alimentação</t>
  </si>
  <si>
    <t>MÓDULO 3: PROVISÃO PARA RESCISÃO</t>
  </si>
  <si>
    <t>Provisão para Rescisão</t>
  </si>
  <si>
    <t>Aviso Prévio Indenizado</t>
  </si>
  <si>
    <t>Aviso Prévio Trabalhado</t>
  </si>
  <si>
    <t>Multa do FGTS sobre o Aviso Prévio Trabalhado</t>
  </si>
  <si>
    <t>MÓDULO 4: CUSTO DE REPOSIÇÃO DO PROFISSIONAL AUSENTE</t>
  </si>
  <si>
    <t>Submódulo 4.1 - Substituto nas Ausências Legais</t>
  </si>
  <si>
    <t>4.1</t>
  </si>
  <si>
    <t>Substituto nas Ausências Legais</t>
  </si>
  <si>
    <t xml:space="preserve">Substituto na Cobertura de Férias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</si>
  <si>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</si>
  <si>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</si>
  <si>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</si>
  <si>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</si>
  <si>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</t>
  </si>
  <si>
    <t>4.2</t>
  </si>
  <si>
    <t>Substituto na Intrajornada</t>
  </si>
  <si>
    <t>Substituto na Cobertura de Intervalo para Repouso e Alimentação</t>
  </si>
  <si>
    <t>MÓDULO 5: INSUMOS DIVERSOS</t>
  </si>
  <si>
    <t>Insumos Diversos</t>
  </si>
  <si>
    <t>Uniformes</t>
  </si>
  <si>
    <t>Ferramentas</t>
  </si>
  <si>
    <t>Equipamentos de Proteção Individual</t>
  </si>
  <si>
    <t>Outros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</si>
  <si>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</si>
  <si>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</si>
  <si>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</si>
  <si>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</si>
  <si>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</si>
  <si>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</si>
  <si>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C.2</t>
  </si>
  <si>
    <t>Cofins</t>
  </si>
  <si>
    <t>C.3</t>
  </si>
  <si>
    <t>ISS</t>
  </si>
  <si>
    <t>QUADRO RESUMO - CUSTO POR EMPREGADO</t>
  </si>
  <si>
    <t>MÓD.</t>
  </si>
  <si>
    <t>Mão-de-obra vinculada à execução contratual (valor por empregado)</t>
  </si>
  <si>
    <t>Valor    (R$)</t>
  </si>
  <si>
    <t>Encargos e Benefícios Anuais, Mensais e Diários</t>
  </si>
  <si>
    <t>Custo de Reposição do Profissional Ausente</t>
  </si>
  <si>
    <t>VALOR TOTAL DO EMPREGADO</t>
  </si>
  <si>
    <t>VALOR TOTAL POR POSTO</t>
  </si>
  <si>
    <t>VALOR TOTAL DA CATEGORIA</t>
  </si>
  <si>
    <t>ENCARGOS SOCIAIS E TRABALHISTAS</t>
  </si>
  <si>
    <t>Memória de Cálculo</t>
  </si>
  <si>
    <t>(1/12) x 100</t>
  </si>
  <si>
    <t>[(1/3)/12] x 100</t>
  </si>
  <si>
    <t>[(62,93%) x 5,55% x (1/12)] x 100</t>
  </si>
  <si>
    <t>[(62,93%) x 94,45% x (7/30)/12] x 100</t>
  </si>
  <si>
    <t>1,16% x 40%  x 8,00% x 100</t>
  </si>
  <si>
    <t xml:space="preserve">(1/12) x 100 </t>
  </si>
  <si>
    <t>[(8/30)/12] x 100</t>
  </si>
  <si>
    <t>{[(20/30)/12] x 1,416% x 45,22%} x 100</t>
  </si>
  <si>
    <t>[(15/30)/12] x 0,44%} x 100</t>
  </si>
  <si>
    <t>{[(180/30)/12] x 1,416% x 54,78% x 36,80%} x 100</t>
  </si>
  <si>
    <t>OBSERVAÇÃO</t>
  </si>
  <si>
    <t>Para mais informações, consulte o Referencial Técnico de Custos, constante da aba PUBLICAÇÕES, na página da Auditoria Interna do MPU na internet (www.auditoria.mpu.mp.br).</t>
  </si>
  <si>
    <t>DADOS ESTATÍSTICOS</t>
  </si>
  <si>
    <t>Dias / Horas / Minutos</t>
  </si>
  <si>
    <t>Divisor de Horas (em horas)</t>
  </si>
  <si>
    <t>Dias na Semana</t>
  </si>
  <si>
    <t>Dias no Ano</t>
  </si>
  <si>
    <t>I</t>
  </si>
  <si>
    <t>Média Anual de Dias Trabalhados no Mês</t>
  </si>
  <si>
    <t>J</t>
  </si>
  <si>
    <t xml:space="preserve">Meses no Ano </t>
  </si>
  <si>
    <t>K</t>
  </si>
  <si>
    <t>Hora Normal (em minutos)</t>
  </si>
  <si>
    <t>Hora Noturna (em minutos)</t>
  </si>
  <si>
    <t>Frequência</t>
  </si>
  <si>
    <t>Desconto Remuneração Transporte</t>
  </si>
  <si>
    <t>Mensal</t>
  </si>
  <si>
    <t>Dias / %</t>
  </si>
  <si>
    <t>Pessoas demitidas sem justa causa / Total de desligamentos (em %)</t>
  </si>
  <si>
    <t>Empregados que recebem aviso prévio indenizado (em %)</t>
  </si>
  <si>
    <t>Multa do FGTS (em %)</t>
  </si>
  <si>
    <t>Empregados que recebem aviso prévio trabalhado (em %)</t>
  </si>
  <si>
    <t>Dias no mês</t>
  </si>
  <si>
    <t>Dias de Ausências Legais</t>
  </si>
  <si>
    <t>Dias de Licença-Paternidade</t>
  </si>
  <si>
    <t>Nascidos Vivos / População Feminina (em %)</t>
  </si>
  <si>
    <t>Participação Masculina(em %)</t>
  </si>
  <si>
    <t>Empregados afastados por acidente de trabalho (em %)</t>
  </si>
  <si>
    <t>Dias pagos pela empresa em acidentes de trabalho</t>
  </si>
  <si>
    <t>Dias de Licença-Maternidade</t>
  </si>
  <si>
    <t>Participação Feminina (em %)</t>
  </si>
  <si>
    <t>Submódulo 4.2 - Intrajornada</t>
  </si>
  <si>
    <t>Intrajornada</t>
  </si>
  <si>
    <t>Minutos / %</t>
  </si>
  <si>
    <t>Hora Extra (em %)</t>
  </si>
  <si>
    <t>Tempo de Intervalo para Refeição (em minutos)</t>
  </si>
  <si>
    <t>Uniforme</t>
  </si>
  <si>
    <t>Profissionais residentes</t>
  </si>
  <si>
    <t>BIMESTRAL</t>
  </si>
  <si>
    <t>SEMESTRAL</t>
  </si>
  <si>
    <t>ANUAL</t>
  </si>
  <si>
    <t>05 (cinco) camisas de malha piquê tipo polo, de manga curta, 100% algodão, na cor branca, com a logomarca da Contratada.</t>
  </si>
  <si>
    <t>01 (um) jaleco de brim, manga longa, 100% algodão, com 03 bolsos, sendo 01 superior (com logomarca da Contratada) e 02 laterais/frontais, na cor branca ou cor usual da Empresa.</t>
  </si>
  <si>
    <t>04 (quatro) calças tipo semi-bag, em brim 100% algodão, com presilhas para cinto, com 02 bolsos frontais e 02 bolsos traseiros, na cor azul royal ou na cor usual da empresa.</t>
  </si>
  <si>
    <t>01 (uma) bota de segurança confeccionada em vaqueta curtida ao cromo na cor preta, sem biqueira de aço, cano acolchoado e solado em PU.</t>
  </si>
  <si>
    <t>02 (dois) cintos de couro, na cor preta.</t>
  </si>
  <si>
    <t>05 (cinco) pares de meias de cano médio, 100% em algodão, na cor preta.</t>
  </si>
  <si>
    <t>Total Mensal</t>
  </si>
  <si>
    <t>01/2023</t>
  </si>
  <si>
    <t>PR-PA</t>
  </si>
  <si>
    <t>PRM-ALTAMIRA</t>
  </si>
  <si>
    <t>C.4</t>
  </si>
  <si>
    <t>CPRB</t>
  </si>
  <si>
    <t>PARA FORMAÇÃO DO VALOR ESTIMADO DA CONTRATAÇÃO, A ADMINISTRAÇÃO TOMOU POR BASE A CONVENÇÃO COLETIVA DE TRABALHO 2022/2023 CELEBRADA ENTRE SINDICATO DA INDUSTRIA DA CONSTRUCAO DO ESTADO DO PARA, CNPJ Nº 04.979.068/0001-15 E SIND TRAB IND CONST PES OF EL TRAB IND I EL GAS HID SAN, CNPJ Nº 00.286.747/0001-58, REGISTRADA NO MTE SOB O Nº PA000826/2022</t>
  </si>
  <si>
    <t>A METODOLOGIA DE  CÁLCULO DA PLANILHA DO VALOR ESTIMADO DA CONTRATAÇÃO SEGUIU ORIENTAÇÕES DA IN SEGES/MP N° 5/2017 E DO REFERENCIAL TÉCNICO DA AUDIN/MPU DISPONÍVEL EM: https://auditoria.mpu.mp.br/documentos-audin-mpu/manuais-e-cartilhas/referencial-tecnico-custos/referencial-tecnico</t>
  </si>
  <si>
    <t>D – MATERIAIS PARA REPOSIÇÃO E ADAPTAÇÃO</t>
  </si>
  <si>
    <t>E –MATERIAIS E PRESTAÇÃO DE SERVIÇOS POR RESSARCIMENTO</t>
  </si>
  <si>
    <t>VALOR TOTAL ESTIMADO DA CONTRATAÇÃO (A+B+C+D+E)</t>
  </si>
  <si>
    <t>Equipamentos de Proteção Individual (43484 – SINAPI)</t>
  </si>
  <si>
    <t>Ferramentas (43460 – SINAPI)</t>
  </si>
  <si>
    <r>
      <t xml:space="preserve">B. Planilha de composição do </t>
    </r>
    <r>
      <rPr>
        <b/>
        <u/>
        <sz val="11"/>
        <color rgb="FF000000"/>
        <rFont val="Arial"/>
        <family val="2"/>
      </rPr>
      <t>BDI MATERIAIS</t>
    </r>
  </si>
  <si>
    <t xml:space="preserve">NA PROPOSTA, SERÁ FACULTADA A ALTERAÇÃO DO BDI MATERIAIS E BDI SERVIÇOS NA PLANILHA "CÁCULO DO BDI". </t>
  </si>
  <si>
    <t>OS PERCENTUAIS PROPOSTOS PARA O  BDI SERVIÇOS SERÁ APLICADO A TODOS ITENS DE RESSARCIMENTO DE SERVIÇOS INCLUÍDOS NA PROPOSTA E, TAMBÉM, A ITENS DE RESSARCIMENTO QUE VENHAM A SER INCLUÍDOS POSTERIORMENTE.</t>
  </si>
  <si>
    <t>OS PERCENTUAIS PROPOSTOS PARA O  BDI MATERIAIS SERÁ APLICADO A TODOS OS MATERIAIS DE REPOSIÇÃO E ADAPTAÇÃO INCLUÍDOS NA PROPOSTA E, TAMBÉM, A MATERIAIS DE RESSARCIMENTO QUE VENHAM A SER INCLUÍDOS POSTERIORMENTE.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</si>
</sst>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#,##0.00\ ;\-#,##0.00\ "/>
    <numFmt numFmtId="165" formatCode="[$R$-416]\ #,##0.00;[Red]\-[$R$-416]\ #,##0.00"/>
    <numFmt numFmtId="166" formatCode="d/m/yyyy"/>
    <numFmt numFmtId="167" formatCode="#,##0\ ;\(#,##0\)"/>
    <numFmt numFmtId="168" formatCode="#,##0.00\ ;\(#,##0.00\)"/>
    <numFmt numFmtId="169" formatCode="#,##0.0"/>
  </numFmts>
  <fonts count="55">
    <font>
      <sz val="10"/>
      <name val="Arial"/>
      <family val="2"/>
    </font>
    <font>
      <b/>
      <sz val="10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sz val="10"/>
      <color rgb="FF000000"/>
      <name val="Verdana"/>
      <family val="2"/>
      <charset val="1"/>
    </font>
    <font>
      <sz val="10"/>
      <color rgb="FF000000"/>
      <name val="Arial1"/>
      <charset val="1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0"/>
      <color theme="1"/>
      <name val="Liberation Sans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u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4"/>
      <name val="Segoe UI Light"/>
      <family val="2"/>
    </font>
    <font>
      <sz val="11"/>
      <name val="Segoe UI Light"/>
      <family val="2"/>
    </font>
    <font>
      <b/>
      <sz val="16"/>
      <color rgb="FF632523"/>
      <name val="Segoe UI Light"/>
      <family val="2"/>
    </font>
    <font>
      <sz val="8"/>
      <name val="Segoe UI Light"/>
      <family val="2"/>
    </font>
    <font>
      <b/>
      <sz val="11"/>
      <color rgb="FFFFFFFF"/>
      <name val="Segoe UI Light"/>
      <family val="2"/>
    </font>
    <font>
      <sz val="11"/>
      <color rgb="FF953735"/>
      <name val="Segoe UI Light"/>
      <family val="2"/>
    </font>
    <font>
      <b/>
      <sz val="11"/>
      <color rgb="FF632523"/>
      <name val="Segoe UI Light"/>
      <family val="2"/>
    </font>
    <font>
      <b/>
      <sz val="11"/>
      <name val="Segoe UI Light"/>
      <family val="2"/>
    </font>
    <font>
      <sz val="11"/>
      <color rgb="FFFF0000"/>
      <name val="Segoe UI Light"/>
      <family val="2"/>
    </font>
    <font>
      <b/>
      <sz val="11"/>
      <color rgb="FFFF0000"/>
      <name val="Segoe UI Light"/>
      <family val="2"/>
    </font>
    <font>
      <b/>
      <sz val="16"/>
      <name val="Segoe UI Light"/>
      <family val="2"/>
    </font>
    <font>
      <i/>
      <sz val="10"/>
      <color rgb="FFFFFFFF"/>
      <name val="Segoe UI Light"/>
      <family val="2"/>
    </font>
    <font>
      <i/>
      <sz val="10"/>
      <name val="Segoe UI Light"/>
      <family val="2"/>
    </font>
    <font>
      <b/>
      <sz val="14"/>
      <color rgb="FF953735"/>
      <name val="Segoe UI Light"/>
      <family val="2"/>
    </font>
    <font>
      <sz val="9"/>
      <color indexed="81"/>
      <name val="Segoe UI"/>
      <family val="2"/>
    </font>
    <font>
      <b/>
      <sz val="12"/>
      <name val="Segoe UI Light"/>
      <family val="2"/>
    </font>
    <font>
      <b/>
      <sz val="20"/>
      <name val="Segoe UI Light"/>
      <family val="2"/>
    </font>
    <font>
      <b/>
      <sz val="14"/>
      <name val="Segoe UI Light"/>
      <family val="2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rgb="FFFF9900"/>
      </patternFill>
    </fill>
    <fill>
      <patternFill patternType="solid">
        <fgColor theme="0"/>
        <bgColor rgb="FFFF8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FF8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8000"/>
      </patternFill>
    </fill>
    <fill>
      <patternFill patternType="solid">
        <fgColor rgb="FFFCD5B5"/>
        <bgColor rgb="FFFDEADA"/>
      </patternFill>
    </fill>
    <fill>
      <patternFill patternType="solid">
        <fgColor rgb="FFFFFFFF"/>
        <bgColor rgb="FFF2F2F2"/>
      </patternFill>
    </fill>
    <fill>
      <patternFill patternType="solid">
        <fgColor rgb="FFFDEADA"/>
        <bgColor rgb="FFF2F2F2"/>
      </patternFill>
    </fill>
    <fill>
      <patternFill patternType="solid">
        <fgColor rgb="FFD55816"/>
        <bgColor rgb="FF993300"/>
      </patternFill>
    </fill>
    <fill>
      <patternFill patternType="solid">
        <fgColor rgb="FFFFFF00"/>
        <bgColor rgb="FFFDEADA"/>
      </patternFill>
    </fill>
    <fill>
      <patternFill patternType="solid">
        <fgColor rgb="FFFFFF00"/>
        <bgColor rgb="FFF2F2F2"/>
      </patternFill>
    </fill>
    <fill>
      <patternFill patternType="solid">
        <fgColor theme="4" tint="0.39997558519241921"/>
        <bgColor rgb="FFFDEADA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-0.249977111117893"/>
        <bgColor rgb="FF993300"/>
      </patternFill>
    </fill>
    <fill>
      <patternFill patternType="solid">
        <fgColor theme="4" tint="-0.499984740745262"/>
        <bgColor rgb="FF993300"/>
      </patternFill>
    </fill>
    <fill>
      <patternFill patternType="solid">
        <fgColor theme="4" tint="-0.249977111117893"/>
        <bgColor rgb="FFFDEADA"/>
      </patternFill>
    </fill>
    <fill>
      <patternFill patternType="solid">
        <fgColor theme="4" tint="-0.249977111117893"/>
        <bgColor rgb="FFF2F2F2"/>
      </patternFill>
    </fill>
    <fill>
      <patternFill patternType="solid">
        <fgColor theme="4" tint="0.59999389629810485"/>
        <bgColor rgb="FFFDEADA"/>
      </patternFill>
    </fill>
    <fill>
      <patternFill patternType="solid">
        <fgColor rgb="FFFFFF00"/>
        <bgColor rgb="FF993300"/>
      </patternFill>
    </fill>
    <fill>
      <patternFill patternType="solid">
        <fgColor rgb="FF8EA9DB"/>
        <bgColor rgb="FFFDEADA"/>
      </patternFill>
    </fill>
    <fill>
      <patternFill patternType="solid">
        <fgColor rgb="FFB4C6E7"/>
        <bgColor rgb="FFF2F2F2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 style="thin">
        <color rgb="FFF2F2F2"/>
      </left>
      <right style="thin">
        <color rgb="FFF2F2F2"/>
      </right>
      <top/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/>
      <top style="thin">
        <color rgb="FFF2F2F2"/>
      </top>
      <bottom/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/>
      <diagonal/>
    </border>
  </borders>
  <cellStyleXfs count="6">
    <xf numFmtId="0" fontId="0" fillId="0" borderId="0"/>
    <xf numFmtId="0" fontId="2" fillId="0" borderId="0" applyBorder="0" applyProtection="0"/>
    <xf numFmtId="44" fontId="16" fillId="0" borderId="0" applyFont="0" applyFill="0" applyBorder="0" applyAlignment="0" applyProtection="0"/>
    <xf numFmtId="0" fontId="18" fillId="0" borderId="0"/>
    <xf numFmtId="0" fontId="23" fillId="0" borderId="0"/>
    <xf numFmtId="9" fontId="16" fillId="0" borderId="0" applyFont="0" applyFill="0" applyBorder="0" applyAlignment="0" applyProtection="0"/>
  </cellStyleXfs>
  <cellXfs count="352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164" fontId="0" fillId="0" borderId="0" xfId="0" applyNumberFormat="1" applyAlignment="1">
      <alignment horizontal="left" vertical="center" wrapText="1" indent="1"/>
    </xf>
    <xf numFmtId="165" fontId="0" fillId="0" borderId="0" xfId="0" applyNumberFormat="1" applyAlignment="1">
      <alignment horizontal="left" vertical="center" wrapText="1" indent="1"/>
    </xf>
    <xf numFmtId="0" fontId="4" fillId="0" borderId="0" xfId="0" applyFont="1" applyAlignment="1">
      <alignment horizontal="left" inden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165" fontId="11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justify" vertical="center" wrapText="1" readingOrder="1"/>
    </xf>
    <xf numFmtId="0" fontId="13" fillId="0" borderId="0" xfId="0" applyFont="1" applyAlignment="1">
      <alignment horizontal="justify" vertical="center" wrapText="1" readingOrder="1"/>
    </xf>
    <xf numFmtId="0" fontId="14" fillId="0" borderId="0" xfId="0" applyFont="1" applyAlignment="1">
      <alignment horizontal="justify" vertical="center" wrapText="1" readingOrder="1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5" fontId="4" fillId="3" borderId="0" xfId="0" applyNumberFormat="1" applyFont="1" applyFill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18" fillId="0" borderId="0" xfId="3"/>
    <xf numFmtId="0" fontId="20" fillId="8" borderId="0" xfId="3" applyFont="1" applyFill="1" applyAlignment="1">
      <alignment horizontal="center"/>
    </xf>
    <xf numFmtId="0" fontId="19" fillId="8" borderId="0" xfId="3" applyFont="1" applyFill="1" applyAlignment="1">
      <alignment horizontal="center"/>
    </xf>
    <xf numFmtId="0" fontId="19" fillId="0" borderId="0" xfId="3" applyFont="1"/>
    <xf numFmtId="0" fontId="22" fillId="8" borderId="0" xfId="3" applyFont="1" applyFill="1"/>
    <xf numFmtId="0" fontId="19" fillId="8" borderId="0" xfId="3" applyFont="1" applyFill="1"/>
    <xf numFmtId="0" fontId="22" fillId="0" borderId="0" xfId="3" applyFont="1"/>
    <xf numFmtId="0" fontId="21" fillId="0" borderId="0" xfId="3" applyFont="1"/>
    <xf numFmtId="0" fontId="28" fillId="0" borderId="1" xfId="3" applyFont="1" applyBorder="1" applyAlignment="1">
      <alignment horizontal="center"/>
    </xf>
    <xf numFmtId="0" fontId="28" fillId="0" borderId="1" xfId="3" applyFont="1" applyBorder="1"/>
    <xf numFmtId="10" fontId="28" fillId="9" borderId="1" xfId="3" applyNumberFormat="1" applyFont="1" applyFill="1" applyBorder="1" applyAlignment="1">
      <alignment horizontal="center"/>
    </xf>
    <xf numFmtId="10" fontId="1" fillId="0" borderId="1" xfId="3" applyNumberFormat="1" applyFont="1" applyBorder="1" applyAlignment="1">
      <alignment horizontal="center"/>
    </xf>
    <xf numFmtId="0" fontId="17" fillId="0" borderId="0" xfId="4" applyFont="1"/>
    <xf numFmtId="0" fontId="17" fillId="0" borderId="0" xfId="4" applyFont="1" applyAlignment="1">
      <alignment horizontal="justify" vertical="center"/>
    </xf>
    <xf numFmtId="0" fontId="25" fillId="8" borderId="0" xfId="3" applyFont="1" applyFill="1" applyAlignment="1">
      <alignment horizontal="center"/>
    </xf>
    <xf numFmtId="0" fontId="26" fillId="0" borderId="0" xfId="3" applyFont="1" applyAlignment="1">
      <alignment horizontal="center"/>
    </xf>
    <xf numFmtId="0" fontId="29" fillId="8" borderId="0" xfId="3" applyFont="1" applyFill="1" applyAlignment="1">
      <alignment horizontal="center" wrapText="1"/>
    </xf>
    <xf numFmtId="0" fontId="26" fillId="0" borderId="0" xfId="3" applyFont="1" applyAlignment="1">
      <alignment horizontal="left"/>
    </xf>
    <xf numFmtId="0" fontId="17" fillId="7" borderId="0" xfId="4" applyFont="1" applyFill="1" applyAlignment="1">
      <alignment horizontal="justify" vertical="center"/>
    </xf>
    <xf numFmtId="0" fontId="17" fillId="7" borderId="0" xfId="4" applyFont="1" applyFill="1"/>
    <xf numFmtId="0" fontId="33" fillId="7" borderId="0" xfId="4" applyFont="1" applyFill="1" applyAlignment="1">
      <alignment horizontal="justify" vertical="center"/>
    </xf>
    <xf numFmtId="0" fontId="33" fillId="7" borderId="0" xfId="4" applyFont="1" applyFill="1"/>
    <xf numFmtId="0" fontId="17" fillId="0" borderId="8" xfId="4" applyFont="1" applyBorder="1" applyAlignment="1">
      <alignment horizontal="center" vertical="center"/>
    </xf>
    <xf numFmtId="0" fontId="28" fillId="0" borderId="8" xfId="4" applyFont="1" applyBorder="1" applyAlignment="1">
      <alignment horizontal="justify" vertical="center" wrapText="1"/>
    </xf>
    <xf numFmtId="4" fontId="17" fillId="0" borderId="8" xfId="4" applyNumberFormat="1" applyFont="1" applyBorder="1" applyAlignment="1">
      <alignment vertical="center"/>
    </xf>
    <xf numFmtId="0" fontId="17" fillId="0" borderId="8" xfId="4" applyFont="1" applyBorder="1" applyAlignment="1">
      <alignment horizontal="justify" vertical="center" wrapText="1"/>
    </xf>
    <xf numFmtId="4" fontId="17" fillId="0" borderId="8" xfId="4" applyNumberFormat="1" applyFont="1" applyBorder="1" applyAlignment="1">
      <alignment horizontal="right" vertical="center" wrapText="1"/>
    </xf>
    <xf numFmtId="0" fontId="17" fillId="0" borderId="8" xfId="4" applyFont="1" applyBorder="1" applyAlignment="1">
      <alignment horizontal="center" vertical="center" wrapText="1"/>
    </xf>
    <xf numFmtId="0" fontId="17" fillId="0" borderId="8" xfId="4" applyFont="1" applyBorder="1" applyAlignment="1">
      <alignment horizontal="justify" vertical="center"/>
    </xf>
    <xf numFmtId="0" fontId="28" fillId="0" borderId="8" xfId="4" applyFont="1" applyBorder="1" applyAlignment="1">
      <alignment horizontal="justify" vertical="center"/>
    </xf>
    <xf numFmtId="4" fontId="17" fillId="0" borderId="8" xfId="4" applyNumberFormat="1" applyFont="1" applyBorder="1" applyAlignment="1">
      <alignment horizontal="right" vertical="center"/>
    </xf>
    <xf numFmtId="0" fontId="1" fillId="7" borderId="8" xfId="4" applyFont="1" applyFill="1" applyBorder="1" applyAlignment="1">
      <alignment horizontal="center" vertical="center" wrapText="1"/>
    </xf>
    <xf numFmtId="4" fontId="17" fillId="7" borderId="0" xfId="4" applyNumberFormat="1" applyFont="1" applyFill="1"/>
    <xf numFmtId="4" fontId="33" fillId="7" borderId="0" xfId="4" applyNumberFormat="1" applyFont="1" applyFill="1"/>
    <xf numFmtId="0" fontId="18" fillId="0" borderId="8" xfId="4" applyFont="1" applyBorder="1" applyAlignment="1">
      <alignment horizontal="center" vertical="center" wrapText="1"/>
    </xf>
    <xf numFmtId="0" fontId="36" fillId="0" borderId="8" xfId="4" applyFont="1" applyBorder="1" applyAlignment="1">
      <alignment horizontal="justify" vertical="center"/>
    </xf>
    <xf numFmtId="0" fontId="17" fillId="0" borderId="0" xfId="4" applyFont="1" applyAlignment="1">
      <alignment horizontal="center" vertical="center"/>
    </xf>
    <xf numFmtId="0" fontId="28" fillId="0" borderId="0" xfId="4" applyFont="1" applyAlignment="1">
      <alignment horizontal="justify" vertical="center" wrapText="1"/>
    </xf>
    <xf numFmtId="4" fontId="17" fillId="0" borderId="0" xfId="4" applyNumberFormat="1" applyFont="1" applyAlignment="1">
      <alignment vertical="center"/>
    </xf>
    <xf numFmtId="0" fontId="1" fillId="7" borderId="10" xfId="4" applyFont="1" applyFill="1" applyBorder="1" applyAlignment="1">
      <alignment horizontal="center" vertical="center" wrapText="1"/>
    </xf>
    <xf numFmtId="0" fontId="17" fillId="0" borderId="11" xfId="4" applyFont="1" applyBorder="1" applyAlignment="1">
      <alignment horizontal="center" vertical="center"/>
    </xf>
    <xf numFmtId="0" fontId="17" fillId="0" borderId="11" xfId="4" applyFont="1" applyBorder="1" applyAlignment="1">
      <alignment horizontal="justify" vertical="center"/>
    </xf>
    <xf numFmtId="4" fontId="17" fillId="0" borderId="11" xfId="4" applyNumberFormat="1" applyFont="1" applyBorder="1" applyAlignment="1">
      <alignment vertical="center"/>
    </xf>
    <xf numFmtId="10" fontId="17" fillId="7" borderId="0" xfId="5" applyNumberFormat="1" applyFont="1" applyFill="1"/>
    <xf numFmtId="0" fontId="38" fillId="14" borderId="0" xfId="0" applyFont="1" applyFill="1"/>
    <xf numFmtId="0" fontId="40" fillId="14" borderId="0" xfId="0" applyFont="1" applyFill="1"/>
    <xf numFmtId="0" fontId="41" fillId="16" borderId="12" xfId="0" applyFont="1" applyFill="1" applyBorder="1" applyAlignment="1">
      <alignment horizontal="center" vertical="center"/>
    </xf>
    <xf numFmtId="0" fontId="38" fillId="15" borderId="12" xfId="0" applyFont="1" applyFill="1" applyBorder="1" applyAlignment="1">
      <alignment horizontal="center"/>
    </xf>
    <xf numFmtId="0" fontId="38" fillId="14" borderId="0" xfId="0" applyFont="1" applyFill="1" applyAlignment="1">
      <alignment vertical="top"/>
    </xf>
    <xf numFmtId="0" fontId="40" fillId="14" borderId="0" xfId="0" applyFont="1" applyFill="1" applyAlignment="1">
      <alignment vertical="top"/>
    </xf>
    <xf numFmtId="0" fontId="42" fillId="14" borderId="0" xfId="0" applyFont="1" applyFill="1"/>
    <xf numFmtId="0" fontId="43" fillId="14" borderId="0" xfId="0" applyFont="1" applyFill="1" applyAlignment="1">
      <alignment horizontal="left"/>
    </xf>
    <xf numFmtId="168" fontId="38" fillId="14" borderId="0" xfId="0" applyNumberFormat="1" applyFont="1" applyFill="1" applyAlignment="1">
      <alignment horizontal="right"/>
    </xf>
    <xf numFmtId="0" fontId="41" fillId="16" borderId="12" xfId="0" applyFont="1" applyFill="1" applyBorder="1" applyAlignment="1">
      <alignment horizontal="center" vertical="center" wrapText="1"/>
    </xf>
    <xf numFmtId="0" fontId="38" fillId="15" borderId="12" xfId="0" applyFont="1" applyFill="1" applyBorder="1" applyAlignment="1">
      <alignment horizontal="left" vertical="center" wrapText="1"/>
    </xf>
    <xf numFmtId="168" fontId="38" fillId="14" borderId="0" xfId="0" applyNumberFormat="1" applyFont="1" applyFill="1" applyAlignment="1">
      <alignment horizontal="center"/>
    </xf>
    <xf numFmtId="0" fontId="44" fillId="14" borderId="0" xfId="0" applyFont="1" applyFill="1" applyAlignment="1">
      <alignment horizontal="left" vertical="center" wrapText="1"/>
    </xf>
    <xf numFmtId="0" fontId="44" fillId="14" borderId="0" xfId="0" applyFont="1" applyFill="1" applyAlignment="1">
      <alignment horizontal="center" vertical="center" wrapText="1"/>
    </xf>
    <xf numFmtId="168" fontId="44" fillId="14" borderId="0" xfId="0" applyNumberFormat="1" applyFont="1" applyFill="1" applyAlignment="1">
      <alignment horizontal="center" vertical="center" wrapText="1"/>
    </xf>
    <xf numFmtId="2" fontId="38" fillId="13" borderId="12" xfId="0" applyNumberFormat="1" applyFont="1" applyFill="1" applyBorder="1" applyAlignment="1">
      <alignment horizontal="center" vertical="center" wrapText="1"/>
    </xf>
    <xf numFmtId="168" fontId="38" fillId="13" borderId="12" xfId="0" applyNumberFormat="1" applyFont="1" applyFill="1" applyBorder="1" applyAlignment="1">
      <alignment horizontal="right" vertical="center" wrapText="1"/>
    </xf>
    <xf numFmtId="2" fontId="38" fillId="15" borderId="12" xfId="0" applyNumberFormat="1" applyFont="1" applyFill="1" applyBorder="1" applyAlignment="1">
      <alignment horizontal="center" vertical="center"/>
    </xf>
    <xf numFmtId="168" fontId="38" fillId="15" borderId="12" xfId="0" applyNumberFormat="1" applyFont="1" applyFill="1" applyBorder="1" applyAlignment="1">
      <alignment horizontal="right" vertical="center" wrapText="1"/>
    </xf>
    <xf numFmtId="0" fontId="45" fillId="14" borderId="0" xfId="0" applyFont="1" applyFill="1"/>
    <xf numFmtId="2" fontId="38" fillId="15" borderId="12" xfId="0" applyNumberFormat="1" applyFont="1" applyFill="1" applyBorder="1" applyAlignment="1">
      <alignment horizontal="center" vertical="center" wrapText="1"/>
    </xf>
    <xf numFmtId="0" fontId="46" fillId="14" borderId="0" xfId="0" applyFont="1" applyFill="1"/>
    <xf numFmtId="0" fontId="47" fillId="14" borderId="0" xfId="0" applyFont="1" applyFill="1" applyAlignment="1">
      <alignment horizontal="left" vertical="center"/>
    </xf>
    <xf numFmtId="0" fontId="38" fillId="14" borderId="0" xfId="0" applyFont="1" applyFill="1" applyAlignment="1">
      <alignment horizontal="center"/>
    </xf>
    <xf numFmtId="0" fontId="45" fillId="14" borderId="0" xfId="0" applyFont="1" applyFill="1" applyAlignment="1">
      <alignment wrapText="1"/>
    </xf>
    <xf numFmtId="0" fontId="38" fillId="14" borderId="0" xfId="0" applyFont="1" applyFill="1" applyAlignment="1">
      <alignment horizontal="left" vertical="center" wrapText="1"/>
    </xf>
    <xf numFmtId="168" fontId="38" fillId="14" borderId="0" xfId="0" applyNumberFormat="1" applyFont="1" applyFill="1" applyAlignment="1">
      <alignment horizontal="center" vertical="center" wrapText="1"/>
    </xf>
    <xf numFmtId="0" fontId="45" fillId="14" borderId="0" xfId="0" applyFont="1" applyFill="1" applyAlignment="1">
      <alignment horizontal="center" wrapText="1"/>
    </xf>
    <xf numFmtId="0" fontId="38" fillId="14" borderId="0" xfId="0" applyFont="1" applyFill="1" applyAlignment="1">
      <alignment wrapText="1"/>
    </xf>
    <xf numFmtId="0" fontId="39" fillId="14" borderId="0" xfId="0" applyFont="1" applyFill="1"/>
    <xf numFmtId="2" fontId="41" fillId="16" borderId="12" xfId="0" applyNumberFormat="1" applyFont="1" applyFill="1" applyBorder="1" applyAlignment="1">
      <alignment horizontal="center" vertical="center"/>
    </xf>
    <xf numFmtId="0" fontId="50" fillId="14" borderId="0" xfId="0" applyFont="1" applyFill="1" applyAlignment="1">
      <alignment horizontal="left" vertical="center"/>
    </xf>
    <xf numFmtId="0" fontId="38" fillId="14" borderId="0" xfId="0" applyFont="1" applyFill="1" applyAlignment="1">
      <alignment vertical="center" wrapText="1"/>
    </xf>
    <xf numFmtId="3" fontId="38" fillId="13" borderId="12" xfId="0" applyNumberFormat="1" applyFont="1" applyFill="1" applyBorder="1" applyAlignment="1">
      <alignment horizontal="right" vertical="center" wrapText="1"/>
    </xf>
    <xf numFmtId="3" fontId="38" fillId="15" borderId="12" xfId="0" applyNumberFormat="1" applyFont="1" applyFill="1" applyBorder="1" applyAlignment="1">
      <alignment horizontal="right" vertical="center" wrapText="1"/>
    </xf>
    <xf numFmtId="169" fontId="38" fillId="15" borderId="12" xfId="0" applyNumberFormat="1" applyFont="1" applyFill="1" applyBorder="1" applyAlignment="1">
      <alignment horizontal="right" vertical="center" wrapText="1"/>
    </xf>
    <xf numFmtId="169" fontId="38" fillId="13" borderId="12" xfId="0" applyNumberFormat="1" applyFont="1" applyFill="1" applyBorder="1" applyAlignment="1">
      <alignment horizontal="right" vertical="center" wrapText="1"/>
    </xf>
    <xf numFmtId="0" fontId="41" fillId="16" borderId="18" xfId="0" applyFont="1" applyFill="1" applyBorder="1" applyAlignment="1">
      <alignment horizontal="center" vertical="center"/>
    </xf>
    <xf numFmtId="167" fontId="38" fillId="15" borderId="12" xfId="0" applyNumberFormat="1" applyFont="1" applyFill="1" applyBorder="1" applyAlignment="1">
      <alignment horizontal="right" vertical="center" wrapText="1"/>
    </xf>
    <xf numFmtId="167" fontId="38" fillId="13" borderId="12" xfId="0" applyNumberFormat="1" applyFont="1" applyFill="1" applyBorder="1" applyAlignment="1">
      <alignment horizontal="right" vertical="center" wrapText="1"/>
    </xf>
    <xf numFmtId="0" fontId="42" fillId="14" borderId="0" xfId="0" applyFont="1" applyFill="1" applyAlignment="1">
      <alignment horizontal="left" vertical="center" wrapText="1"/>
    </xf>
    <xf numFmtId="168" fontId="42" fillId="14" borderId="0" xfId="0" applyNumberFormat="1" applyFont="1" applyFill="1" applyAlignment="1">
      <alignment horizontal="center" vertical="center" wrapText="1"/>
    </xf>
    <xf numFmtId="168" fontId="41" fillId="14" borderId="0" xfId="0" applyNumberFormat="1" applyFont="1" applyFill="1" applyAlignment="1">
      <alignment horizontal="right" vertical="center" wrapText="1"/>
    </xf>
    <xf numFmtId="166" fontId="38" fillId="17" borderId="12" xfId="0" applyNumberFormat="1" applyFont="1" applyFill="1" applyBorder="1" applyAlignment="1">
      <alignment horizontal="center"/>
    </xf>
    <xf numFmtId="166" fontId="37" fillId="18" borderId="13" xfId="0" applyNumberFormat="1" applyFont="1" applyFill="1" applyBorder="1"/>
    <xf numFmtId="4" fontId="38" fillId="17" borderId="12" xfId="0" applyNumberFormat="1" applyFont="1" applyFill="1" applyBorder="1" applyAlignment="1">
      <alignment horizontal="right" vertical="center" wrapText="1"/>
    </xf>
    <xf numFmtId="4" fontId="38" fillId="18" borderId="12" xfId="0" applyNumberFormat="1" applyFont="1" applyFill="1" applyBorder="1" applyAlignment="1">
      <alignment horizontal="right" vertical="center" wrapText="1"/>
    </xf>
    <xf numFmtId="168" fontId="38" fillId="17" borderId="12" xfId="0" applyNumberFormat="1" applyFont="1" applyFill="1" applyBorder="1" applyAlignment="1">
      <alignment horizontal="right" vertical="center" wrapText="1"/>
    </xf>
    <xf numFmtId="168" fontId="38" fillId="18" borderId="12" xfId="0" applyNumberFormat="1" applyFont="1" applyFill="1" applyBorder="1" applyAlignment="1">
      <alignment horizontal="right" vertical="center" wrapText="1"/>
    </xf>
    <xf numFmtId="2" fontId="38" fillId="17" borderId="12" xfId="0" applyNumberFormat="1" applyFont="1" applyFill="1" applyBorder="1" applyAlignment="1">
      <alignment horizontal="center" vertical="center" wrapText="1"/>
    </xf>
    <xf numFmtId="2" fontId="38" fillId="18" borderId="12" xfId="0" applyNumberFormat="1" applyFont="1" applyFill="1" applyBorder="1" applyAlignment="1">
      <alignment horizontal="center" vertical="center" wrapText="1"/>
    </xf>
    <xf numFmtId="2" fontId="38" fillId="18" borderId="12" xfId="0" applyNumberFormat="1" applyFont="1" applyFill="1" applyBorder="1" applyAlignment="1">
      <alignment horizontal="center" vertical="center"/>
    </xf>
    <xf numFmtId="164" fontId="38" fillId="18" borderId="12" xfId="0" applyNumberFormat="1" applyFont="1" applyFill="1" applyBorder="1" applyAlignment="1">
      <alignment horizontal="center" vertical="center" wrapText="1"/>
    </xf>
    <xf numFmtId="168" fontId="38" fillId="17" borderId="16" xfId="0" applyNumberFormat="1" applyFont="1" applyFill="1" applyBorder="1" applyAlignment="1">
      <alignment horizontal="right" vertical="center" wrapText="1"/>
    </xf>
    <xf numFmtId="168" fontId="38" fillId="18" borderId="16" xfId="0" applyNumberFormat="1" applyFont="1" applyFill="1" applyBorder="1" applyAlignment="1">
      <alignment horizontal="right" vertical="center" wrapText="1"/>
    </xf>
    <xf numFmtId="10" fontId="38" fillId="17" borderId="12" xfId="0" applyNumberFormat="1" applyFont="1" applyFill="1" applyBorder="1" applyAlignment="1">
      <alignment horizontal="center" vertical="center" wrapText="1"/>
    </xf>
    <xf numFmtId="10" fontId="49" fillId="18" borderId="12" xfId="0" applyNumberFormat="1" applyFont="1" applyFill="1" applyBorder="1" applyAlignment="1">
      <alignment horizontal="center" vertical="center" wrapText="1"/>
    </xf>
    <xf numFmtId="168" fontId="49" fillId="18" borderId="12" xfId="0" applyNumberFormat="1" applyFont="1" applyFill="1" applyBorder="1" applyAlignment="1">
      <alignment horizontal="right" vertical="center" wrapText="1"/>
    </xf>
    <xf numFmtId="10" fontId="49" fillId="17" borderId="12" xfId="0" applyNumberFormat="1" applyFont="1" applyFill="1" applyBorder="1" applyAlignment="1">
      <alignment horizontal="center" vertical="center" wrapText="1"/>
    </xf>
    <xf numFmtId="168" fontId="49" fillId="17" borderId="12" xfId="0" applyNumberFormat="1" applyFont="1" applyFill="1" applyBorder="1" applyAlignment="1">
      <alignment horizontal="right" vertical="center" wrapText="1"/>
    </xf>
    <xf numFmtId="166" fontId="37" fillId="20" borderId="13" xfId="0" applyNumberFormat="1" applyFont="1" applyFill="1" applyBorder="1" applyAlignment="1">
      <alignment horizontal="right"/>
    </xf>
    <xf numFmtId="166" fontId="37" fillId="20" borderId="13" xfId="0" applyNumberFormat="1" applyFont="1" applyFill="1" applyBorder="1"/>
    <xf numFmtId="0" fontId="38" fillId="19" borderId="12" xfId="0" applyFont="1" applyFill="1" applyBorder="1" applyAlignment="1">
      <alignment horizontal="center"/>
    </xf>
    <xf numFmtId="166" fontId="38" fillId="19" borderId="12" xfId="0" applyNumberFormat="1" applyFont="1" applyFill="1" applyBorder="1" applyAlignment="1">
      <alignment horizontal="center"/>
    </xf>
    <xf numFmtId="0" fontId="38" fillId="19" borderId="12" xfId="0" applyFont="1" applyFill="1" applyBorder="1"/>
    <xf numFmtId="4" fontId="38" fillId="19" borderId="12" xfId="0" applyNumberFormat="1" applyFont="1" applyFill="1" applyBorder="1" applyAlignment="1">
      <alignment horizontal="right" vertical="center" wrapText="1"/>
    </xf>
    <xf numFmtId="2" fontId="38" fillId="19" borderId="12" xfId="0" applyNumberFormat="1" applyFont="1" applyFill="1" applyBorder="1" applyAlignment="1">
      <alignment horizontal="center" vertical="center" wrapText="1"/>
    </xf>
    <xf numFmtId="168" fontId="38" fillId="19" borderId="12" xfId="0" applyNumberFormat="1" applyFont="1" applyFill="1" applyBorder="1" applyAlignment="1">
      <alignment horizontal="right" vertical="center" wrapText="1"/>
    </xf>
    <xf numFmtId="168" fontId="38" fillId="19" borderId="16" xfId="0" applyNumberFormat="1" applyFont="1" applyFill="1" applyBorder="1" applyAlignment="1">
      <alignment horizontal="right" vertical="center" wrapText="1"/>
    </xf>
    <xf numFmtId="168" fontId="38" fillId="19" borderId="12" xfId="0" applyNumberFormat="1" applyFont="1" applyFill="1" applyBorder="1" applyAlignment="1">
      <alignment horizontal="center" vertical="center" wrapText="1"/>
    </xf>
    <xf numFmtId="10" fontId="38" fillId="19" borderId="12" xfId="0" applyNumberFormat="1" applyFont="1" applyFill="1" applyBorder="1" applyAlignment="1">
      <alignment horizontal="center" vertical="center" wrapText="1"/>
    </xf>
    <xf numFmtId="168" fontId="49" fillId="19" borderId="12" xfId="0" applyNumberFormat="1" applyFont="1" applyFill="1" applyBorder="1" applyAlignment="1">
      <alignment horizontal="right" vertical="center" wrapText="1"/>
    </xf>
    <xf numFmtId="10" fontId="49" fillId="19" borderId="12" xfId="0" applyNumberFormat="1" applyFont="1" applyFill="1" applyBorder="1" applyAlignment="1">
      <alignment horizontal="center" vertical="center" wrapText="1"/>
    </xf>
    <xf numFmtId="49" fontId="38" fillId="20" borderId="12" xfId="0" applyNumberFormat="1" applyFont="1" applyFill="1" applyBorder="1" applyAlignment="1">
      <alignment horizontal="center"/>
    </xf>
    <xf numFmtId="0" fontId="38" fillId="20" borderId="12" xfId="0" applyFont="1" applyFill="1" applyBorder="1" applyAlignment="1">
      <alignment horizontal="justify" vertical="center" wrapText="1"/>
    </xf>
    <xf numFmtId="0" fontId="38" fillId="20" borderId="12" xfId="0" applyFont="1" applyFill="1" applyBorder="1" applyAlignment="1">
      <alignment horizontal="center"/>
    </xf>
    <xf numFmtId="0" fontId="38" fillId="20" borderId="12" xfId="0" applyFont="1" applyFill="1" applyBorder="1"/>
    <xf numFmtId="14" fontId="38" fillId="20" borderId="12" xfId="0" applyNumberFormat="1" applyFont="1" applyFill="1" applyBorder="1" applyAlignment="1">
      <alignment horizontal="center"/>
    </xf>
    <xf numFmtId="4" fontId="38" fillId="20" borderId="12" xfId="0" applyNumberFormat="1" applyFont="1" applyFill="1" applyBorder="1" applyAlignment="1">
      <alignment horizontal="right" vertical="center" wrapText="1"/>
    </xf>
    <xf numFmtId="2" fontId="38" fillId="20" borderId="12" xfId="0" applyNumberFormat="1" applyFont="1" applyFill="1" applyBorder="1" applyAlignment="1">
      <alignment horizontal="center" vertical="center"/>
    </xf>
    <xf numFmtId="168" fontId="38" fillId="20" borderId="12" xfId="0" applyNumberFormat="1" applyFont="1" applyFill="1" applyBorder="1" applyAlignment="1">
      <alignment horizontal="right" vertical="center" wrapText="1"/>
    </xf>
    <xf numFmtId="2" fontId="38" fillId="20" borderId="12" xfId="0" applyNumberFormat="1" applyFont="1" applyFill="1" applyBorder="1" applyAlignment="1">
      <alignment horizontal="center" vertical="center" wrapText="1"/>
    </xf>
    <xf numFmtId="164" fontId="38" fillId="20" borderId="12" xfId="0" applyNumberFormat="1" applyFont="1" applyFill="1" applyBorder="1" applyAlignment="1">
      <alignment horizontal="center" vertical="center" wrapText="1"/>
    </xf>
    <xf numFmtId="168" fontId="38" fillId="20" borderId="16" xfId="0" applyNumberFormat="1" applyFont="1" applyFill="1" applyBorder="1" applyAlignment="1">
      <alignment horizontal="right" vertical="center" wrapText="1"/>
    </xf>
    <xf numFmtId="168" fontId="38" fillId="20" borderId="12" xfId="0" applyNumberFormat="1" applyFont="1" applyFill="1" applyBorder="1" applyAlignment="1">
      <alignment horizontal="center" vertical="center" wrapText="1"/>
    </xf>
    <xf numFmtId="10" fontId="49" fillId="20" borderId="12" xfId="0" applyNumberFormat="1" applyFont="1" applyFill="1" applyBorder="1" applyAlignment="1">
      <alignment horizontal="center" vertical="center" wrapText="1"/>
    </xf>
    <xf numFmtId="168" fontId="49" fillId="20" borderId="12" xfId="0" applyNumberFormat="1" applyFont="1" applyFill="1" applyBorder="1" applyAlignment="1">
      <alignment horizontal="right" vertical="center" wrapText="1"/>
    </xf>
    <xf numFmtId="0" fontId="41" fillId="22" borderId="12" xfId="0" applyFont="1" applyFill="1" applyBorder="1" applyAlignment="1">
      <alignment horizontal="center"/>
    </xf>
    <xf numFmtId="0" fontId="41" fillId="22" borderId="12" xfId="0" applyFont="1" applyFill="1" applyBorder="1" applyAlignment="1">
      <alignment horizontal="center" vertical="center"/>
    </xf>
    <xf numFmtId="0" fontId="41" fillId="22" borderId="12" xfId="0" applyFont="1" applyFill="1" applyBorder="1" applyAlignment="1">
      <alignment horizontal="center" vertical="center" wrapText="1"/>
    </xf>
    <xf numFmtId="4" fontId="41" fillId="22" borderId="12" xfId="0" applyNumberFormat="1" applyFont="1" applyFill="1" applyBorder="1" applyAlignment="1">
      <alignment horizontal="right" vertical="center" wrapText="1"/>
    </xf>
    <xf numFmtId="4" fontId="41" fillId="22" borderId="12" xfId="0" applyNumberFormat="1" applyFont="1" applyFill="1" applyBorder="1" applyAlignment="1">
      <alignment horizontal="right"/>
    </xf>
    <xf numFmtId="4" fontId="41" fillId="22" borderId="12" xfId="0" applyNumberFormat="1" applyFont="1" applyFill="1" applyBorder="1" applyAlignment="1">
      <alignment horizontal="right" vertical="center"/>
    </xf>
    <xf numFmtId="0" fontId="41" fillId="22" borderId="16" xfId="0" applyFont="1" applyFill="1" applyBorder="1" applyAlignment="1">
      <alignment horizontal="center" vertical="center"/>
    </xf>
    <xf numFmtId="0" fontId="41" fillId="22" borderId="16" xfId="0" applyFont="1" applyFill="1" applyBorder="1" applyAlignment="1">
      <alignment horizontal="center" vertical="center" wrapText="1"/>
    </xf>
    <xf numFmtId="0" fontId="41" fillId="22" borderId="16" xfId="0" applyFont="1" applyFill="1" applyBorder="1" applyAlignment="1">
      <alignment horizontal="center"/>
    </xf>
    <xf numFmtId="4" fontId="41" fillId="22" borderId="16" xfId="0" applyNumberFormat="1" applyFont="1" applyFill="1" applyBorder="1" applyAlignment="1">
      <alignment horizontal="right" vertical="center" wrapText="1"/>
    </xf>
    <xf numFmtId="0" fontId="48" fillId="22" borderId="12" xfId="0" applyFont="1" applyFill="1" applyBorder="1" applyAlignment="1">
      <alignment horizontal="center" vertical="center" wrapText="1"/>
    </xf>
    <xf numFmtId="168" fontId="41" fillId="22" borderId="12" xfId="0" applyNumberFormat="1" applyFont="1" applyFill="1" applyBorder="1" applyAlignment="1">
      <alignment horizontal="right" vertical="center" wrapText="1"/>
    </xf>
    <xf numFmtId="0" fontId="47" fillId="14" borderId="0" xfId="0" applyFont="1" applyFill="1" applyAlignment="1">
      <alignment vertical="center"/>
    </xf>
    <xf numFmtId="0" fontId="44" fillId="14" borderId="0" xfId="0" applyFont="1" applyFill="1" applyAlignment="1">
      <alignment horizontal="left"/>
    </xf>
    <xf numFmtId="0" fontId="54" fillId="14" borderId="0" xfId="0" applyFont="1" applyFill="1" applyAlignment="1">
      <alignment horizontal="left" vertical="center"/>
    </xf>
    <xf numFmtId="168" fontId="41" fillId="22" borderId="20" xfId="0" applyNumberFormat="1" applyFont="1" applyFill="1" applyBorder="1" applyAlignment="1">
      <alignment horizontal="right" vertical="center" wrapText="1"/>
    </xf>
    <xf numFmtId="166" fontId="38" fillId="20" borderId="12" xfId="0" applyNumberFormat="1" applyFont="1" applyFill="1" applyBorder="1" applyAlignment="1">
      <alignment horizontal="center"/>
    </xf>
    <xf numFmtId="0" fontId="41" fillId="21" borderId="12" xfId="0" applyFont="1" applyFill="1" applyBorder="1" applyAlignment="1">
      <alignment horizontal="center"/>
    </xf>
    <xf numFmtId="0" fontId="41" fillId="21" borderId="12" xfId="0" applyFont="1" applyFill="1" applyBorder="1" applyAlignment="1">
      <alignment horizontal="center" vertical="center"/>
    </xf>
    <xf numFmtId="0" fontId="41" fillId="21" borderId="12" xfId="0" applyFont="1" applyFill="1" applyBorder="1" applyAlignment="1">
      <alignment horizontal="center" vertical="center" wrapText="1"/>
    </xf>
    <xf numFmtId="0" fontId="41" fillId="21" borderId="16" xfId="0" applyFont="1" applyFill="1" applyBorder="1" applyAlignment="1">
      <alignment horizontal="center" vertical="center"/>
    </xf>
    <xf numFmtId="0" fontId="41" fillId="21" borderId="16" xfId="0" applyFont="1" applyFill="1" applyBorder="1" applyAlignment="1">
      <alignment horizontal="center" vertical="center" wrapText="1"/>
    </xf>
    <xf numFmtId="0" fontId="41" fillId="21" borderId="16" xfId="0" applyFont="1" applyFill="1" applyBorder="1" applyAlignment="1">
      <alignment horizontal="center"/>
    </xf>
    <xf numFmtId="0" fontId="48" fillId="21" borderId="12" xfId="0" applyFont="1" applyFill="1" applyBorder="1" applyAlignment="1">
      <alignment horizontal="center" vertical="center" wrapText="1"/>
    </xf>
    <xf numFmtId="0" fontId="44" fillId="24" borderId="12" xfId="0" applyFont="1" applyFill="1" applyBorder="1" applyAlignment="1">
      <alignment horizontal="center" vertical="center" wrapText="1"/>
    </xf>
    <xf numFmtId="0" fontId="44" fillId="24" borderId="12" xfId="0" applyFont="1" applyFill="1" applyBorder="1" applyAlignment="1">
      <alignment horizontal="center" vertical="center"/>
    </xf>
    <xf numFmtId="2" fontId="38" fillId="19" borderId="12" xfId="0" applyNumberFormat="1" applyFont="1" applyFill="1" applyBorder="1" applyAlignment="1">
      <alignment horizontal="center" wrapText="1"/>
    </xf>
    <xf numFmtId="165" fontId="38" fillId="19" borderId="12" xfId="0" applyNumberFormat="1" applyFont="1" applyFill="1" applyBorder="1" applyAlignment="1">
      <alignment horizontal="center" vertical="center"/>
    </xf>
    <xf numFmtId="2" fontId="38" fillId="25" borderId="12" xfId="0" applyNumberFormat="1" applyFont="1" applyFill="1" applyBorder="1" applyAlignment="1">
      <alignment horizontal="center" wrapText="1"/>
    </xf>
    <xf numFmtId="165" fontId="38" fillId="25" borderId="12" xfId="0" applyNumberFormat="1" applyFont="1" applyFill="1" applyBorder="1" applyAlignment="1">
      <alignment horizontal="center" vertical="center"/>
    </xf>
    <xf numFmtId="2" fontId="44" fillId="23" borderId="12" xfId="0" applyNumberFormat="1" applyFont="1" applyFill="1" applyBorder="1" applyAlignment="1">
      <alignment horizontal="center" wrapText="1"/>
    </xf>
    <xf numFmtId="4" fontId="44" fillId="26" borderId="12" xfId="0" applyNumberFormat="1" applyFont="1" applyFill="1" applyBorder="1" applyAlignment="1">
      <alignment horizontal="right" vertical="center" wrapText="1"/>
    </xf>
    <xf numFmtId="4" fontId="44" fillId="26" borderId="12" xfId="0" applyNumberFormat="1" applyFont="1" applyFill="1" applyBorder="1" applyAlignment="1">
      <alignment horizontal="right" vertical="center"/>
    </xf>
    <xf numFmtId="4" fontId="44" fillId="26" borderId="12" xfId="0" applyNumberFormat="1" applyFont="1" applyFill="1" applyBorder="1" applyAlignment="1">
      <alignment horizontal="right"/>
    </xf>
    <xf numFmtId="4" fontId="44" fillId="26" borderId="16" xfId="0" applyNumberFormat="1" applyFont="1" applyFill="1" applyBorder="1" applyAlignment="1">
      <alignment horizontal="right" vertical="center" wrapText="1"/>
    </xf>
    <xf numFmtId="168" fontId="44" fillId="26" borderId="12" xfId="0" applyNumberFormat="1" applyFont="1" applyFill="1" applyBorder="1" applyAlignment="1">
      <alignment horizontal="right" vertical="center" wrapText="1"/>
    </xf>
    <xf numFmtId="168" fontId="44" fillId="26" borderId="20" xfId="0" applyNumberFormat="1" applyFont="1" applyFill="1" applyBorder="1" applyAlignment="1">
      <alignment horizontal="right" vertical="center" wrapText="1"/>
    </xf>
    <xf numFmtId="2" fontId="0" fillId="11" borderId="1" xfId="0" applyNumberFormat="1" applyFill="1" applyBorder="1" applyAlignment="1">
      <alignment horizontal="center" vertical="center" wrapText="1"/>
    </xf>
    <xf numFmtId="0" fontId="18" fillId="8" borderId="0" xfId="3" applyFill="1" applyAlignment="1">
      <alignment horizontal="center"/>
    </xf>
    <xf numFmtId="0" fontId="4" fillId="0" borderId="0" xfId="0" applyFont="1" applyAlignment="1">
      <alignment horizontal="left" vertical="center" wrapText="1" indent="1"/>
    </xf>
    <xf numFmtId="0" fontId="3" fillId="7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44" fontId="4" fillId="3" borderId="1" xfId="2" applyFont="1" applyFill="1" applyBorder="1" applyAlignment="1">
      <alignment horizontal="center" vertical="center" wrapText="1"/>
    </xf>
    <xf numFmtId="10" fontId="4" fillId="0" borderId="1" xfId="2" applyNumberFormat="1" applyFont="1" applyFill="1" applyBorder="1" applyAlignment="1">
      <alignment horizontal="center" vertical="center" wrapText="1"/>
    </xf>
    <xf numFmtId="44" fontId="4" fillId="0" borderId="1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10" fontId="4" fillId="12" borderId="1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 wrapText="1"/>
    </xf>
    <xf numFmtId="165" fontId="4" fillId="6" borderId="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 readingOrder="1"/>
    </xf>
    <xf numFmtId="0" fontId="4" fillId="0" borderId="1" xfId="0" applyFont="1" applyBorder="1" applyAlignment="1">
      <alignment horizontal="center"/>
    </xf>
    <xf numFmtId="0" fontId="4" fillId="6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8" fillId="0" borderId="1" xfId="3" applyFont="1" applyBorder="1" applyAlignment="1">
      <alignment wrapText="1"/>
    </xf>
    <xf numFmtId="10" fontId="28" fillId="9" borderId="1" xfId="3" applyNumberFormat="1" applyFont="1" applyFill="1" applyBorder="1" applyAlignment="1">
      <alignment horizontal="center"/>
    </xf>
    <xf numFmtId="0" fontId="1" fillId="0" borderId="1" xfId="3" applyFont="1" applyBorder="1" applyAlignment="1">
      <alignment horizontal="right" wrapText="1"/>
    </xf>
    <xf numFmtId="0" fontId="28" fillId="0" borderId="2" xfId="3" applyFont="1" applyBorder="1" applyAlignment="1">
      <alignment horizontal="center"/>
    </xf>
    <xf numFmtId="0" fontId="28" fillId="0" borderId="4" xfId="3" applyFont="1" applyBorder="1" applyAlignment="1">
      <alignment horizontal="center"/>
    </xf>
    <xf numFmtId="0" fontId="28" fillId="0" borderId="3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/>
    </xf>
    <xf numFmtId="10" fontId="1" fillId="0" borderId="2" xfId="3" applyNumberFormat="1" applyFont="1" applyBorder="1" applyAlignment="1">
      <alignment horizontal="center" vertical="center"/>
    </xf>
    <xf numFmtId="10" fontId="1" fillId="0" borderId="3" xfId="3" applyNumberFormat="1" applyFont="1" applyBorder="1" applyAlignment="1">
      <alignment horizontal="center" vertical="center"/>
    </xf>
    <xf numFmtId="0" fontId="28" fillId="0" borderId="1" xfId="3" applyFont="1" applyBorder="1" applyAlignment="1">
      <alignment horizontal="center"/>
    </xf>
    <xf numFmtId="0" fontId="28" fillId="0" borderId="1" xfId="3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28" fillId="0" borderId="1" xfId="3" applyFont="1" applyBorder="1"/>
    <xf numFmtId="0" fontId="28" fillId="8" borderId="1" xfId="3" applyFont="1" applyFill="1" applyBorder="1"/>
    <xf numFmtId="0" fontId="26" fillId="0" borderId="0" xfId="3" applyFont="1" applyAlignment="1">
      <alignment horizontal="left"/>
    </xf>
    <xf numFmtId="0" fontId="1" fillId="0" borderId="0" xfId="3" applyFont="1" applyAlignment="1">
      <alignment horizontal="center"/>
    </xf>
    <xf numFmtId="0" fontId="1" fillId="0" borderId="1" xfId="3" applyFont="1" applyBorder="1"/>
    <xf numFmtId="0" fontId="1" fillId="0" borderId="1" xfId="3" applyFont="1" applyBorder="1" applyAlignment="1">
      <alignment horizontal="center"/>
    </xf>
    <xf numFmtId="0" fontId="29" fillId="9" borderId="0" xfId="3" applyFont="1" applyFill="1" applyAlignment="1">
      <alignment horizontal="center" wrapText="1"/>
    </xf>
    <xf numFmtId="0" fontId="18" fillId="8" borderId="0" xfId="3" applyFill="1" applyAlignment="1">
      <alignment horizontal="center"/>
    </xf>
    <xf numFmtId="0" fontId="24" fillId="8" borderId="0" xfId="3" applyFont="1" applyFill="1" applyAlignment="1">
      <alignment horizontal="center"/>
    </xf>
    <xf numFmtId="0" fontId="27" fillId="0" borderId="0" xfId="3" applyFont="1" applyAlignment="1">
      <alignment horizontal="center"/>
    </xf>
    <xf numFmtId="0" fontId="37" fillId="19" borderId="12" xfId="0" applyFont="1" applyFill="1" applyBorder="1" applyAlignment="1">
      <alignment horizontal="left"/>
    </xf>
    <xf numFmtId="0" fontId="37" fillId="20" borderId="12" xfId="0" applyFont="1" applyFill="1" applyBorder="1" applyAlignment="1">
      <alignment horizontal="left"/>
    </xf>
    <xf numFmtId="0" fontId="47" fillId="14" borderId="0" xfId="0" applyFont="1" applyFill="1" applyAlignment="1">
      <alignment horizontal="center"/>
    </xf>
    <xf numFmtId="0" fontId="41" fillId="21" borderId="14" xfId="0" applyFont="1" applyFill="1" applyBorder="1" applyAlignment="1">
      <alignment horizontal="left"/>
    </xf>
    <xf numFmtId="0" fontId="38" fillId="19" borderId="12" xfId="0" applyFont="1" applyFill="1" applyBorder="1" applyAlignment="1">
      <alignment horizontal="left"/>
    </xf>
    <xf numFmtId="0" fontId="38" fillId="19" borderId="12" xfId="0" applyFont="1" applyFill="1" applyBorder="1" applyAlignment="1">
      <alignment horizontal="center"/>
    </xf>
    <xf numFmtId="0" fontId="38" fillId="20" borderId="12" xfId="0" applyFont="1" applyFill="1" applyBorder="1" applyAlignment="1">
      <alignment horizontal="left"/>
    </xf>
    <xf numFmtId="0" fontId="38" fillId="20" borderId="12" xfId="0" applyFont="1" applyFill="1" applyBorder="1" applyAlignment="1">
      <alignment horizontal="right"/>
    </xf>
    <xf numFmtId="0" fontId="52" fillId="0" borderId="0" xfId="0" applyFont="1" applyAlignment="1">
      <alignment horizontal="center"/>
    </xf>
    <xf numFmtId="0" fontId="38" fillId="20" borderId="12" xfId="0" applyFont="1" applyFill="1" applyBorder="1" applyAlignment="1">
      <alignment horizontal="center" vertical="center"/>
    </xf>
    <xf numFmtId="0" fontId="38" fillId="20" borderId="12" xfId="0" applyFont="1" applyFill="1" applyBorder="1" applyAlignment="1">
      <alignment horizontal="left" vertical="center"/>
    </xf>
    <xf numFmtId="0" fontId="38" fillId="19" borderId="12" xfId="0" applyFont="1" applyFill="1" applyBorder="1" applyAlignment="1">
      <alignment horizontal="left" vertical="center"/>
    </xf>
    <xf numFmtId="0" fontId="38" fillId="19" borderId="12" xfId="0" applyFont="1" applyFill="1" applyBorder="1" applyAlignment="1">
      <alignment horizontal="center" vertical="center"/>
    </xf>
    <xf numFmtId="0" fontId="38" fillId="20" borderId="12" xfId="0" applyFont="1" applyFill="1" applyBorder="1" applyAlignment="1">
      <alignment horizontal="center"/>
    </xf>
    <xf numFmtId="0" fontId="53" fillId="14" borderId="15" xfId="0" applyFont="1" applyFill="1" applyBorder="1" applyAlignment="1">
      <alignment horizontal="center" vertical="center"/>
    </xf>
    <xf numFmtId="0" fontId="41" fillId="22" borderId="12" xfId="0" applyFont="1" applyFill="1" applyBorder="1" applyAlignment="1">
      <alignment horizontal="left" vertical="center" wrapText="1"/>
    </xf>
    <xf numFmtId="168" fontId="38" fillId="19" borderId="12" xfId="0" applyNumberFormat="1" applyFont="1" applyFill="1" applyBorder="1" applyAlignment="1">
      <alignment horizontal="left" vertical="center" wrapText="1"/>
    </xf>
    <xf numFmtId="0" fontId="38" fillId="20" borderId="12" xfId="0" applyFont="1" applyFill="1" applyBorder="1" applyAlignment="1">
      <alignment horizontal="left" vertical="center" wrapText="1"/>
    </xf>
    <xf numFmtId="0" fontId="44" fillId="14" borderId="0" xfId="0" applyFont="1" applyFill="1" applyAlignment="1">
      <alignment horizontal="justify" vertical="center" wrapText="1"/>
    </xf>
    <xf numFmtId="0" fontId="38" fillId="19" borderId="12" xfId="0" applyFont="1" applyFill="1" applyBorder="1" applyAlignment="1">
      <alignment horizontal="left" wrapText="1"/>
    </xf>
    <xf numFmtId="0" fontId="38" fillId="19" borderId="12" xfId="0" applyFont="1" applyFill="1" applyBorder="1" applyAlignment="1">
      <alignment horizontal="left" vertical="center" wrapText="1"/>
    </xf>
    <xf numFmtId="168" fontId="38" fillId="20" borderId="12" xfId="0" applyNumberFormat="1" applyFont="1" applyFill="1" applyBorder="1" applyAlignment="1">
      <alignment horizontal="left" vertical="center" wrapText="1"/>
    </xf>
    <xf numFmtId="0" fontId="41" fillId="22" borderId="12" xfId="0" applyFont="1" applyFill="1" applyBorder="1" applyAlignment="1">
      <alignment horizontal="left" vertical="center"/>
    </xf>
    <xf numFmtId="0" fontId="41" fillId="22" borderId="12" xfId="0" applyFont="1" applyFill="1" applyBorder="1" applyAlignment="1">
      <alignment horizontal="justify" vertical="center" wrapText="1"/>
    </xf>
    <xf numFmtId="0" fontId="38" fillId="19" borderId="12" xfId="0" applyFont="1" applyFill="1" applyBorder="1" applyAlignment="1">
      <alignment horizontal="justify" vertical="center"/>
    </xf>
    <xf numFmtId="0" fontId="38" fillId="20" borderId="12" xfId="0" applyFont="1" applyFill="1" applyBorder="1" applyAlignment="1">
      <alignment horizontal="justify" vertical="center"/>
    </xf>
    <xf numFmtId="0" fontId="38" fillId="20" borderId="16" xfId="0" applyFont="1" applyFill="1" applyBorder="1" applyAlignment="1">
      <alignment horizontal="left" vertical="center" wrapText="1"/>
    </xf>
    <xf numFmtId="4" fontId="38" fillId="20" borderId="12" xfId="0" applyNumberFormat="1" applyFont="1" applyFill="1" applyBorder="1" applyAlignment="1">
      <alignment horizontal="left" vertical="center" wrapText="1"/>
    </xf>
    <xf numFmtId="0" fontId="41" fillId="22" borderId="16" xfId="0" applyFont="1" applyFill="1" applyBorder="1" applyAlignment="1">
      <alignment horizontal="left" vertical="center" wrapText="1"/>
    </xf>
    <xf numFmtId="0" fontId="38" fillId="19" borderId="16" xfId="0" applyFont="1" applyFill="1" applyBorder="1" applyAlignment="1">
      <alignment horizontal="left" vertical="center" wrapText="1"/>
    </xf>
    <xf numFmtId="4" fontId="38" fillId="20" borderId="16" xfId="0" applyNumberFormat="1" applyFont="1" applyFill="1" applyBorder="1" applyAlignment="1">
      <alignment horizontal="left" vertical="center" wrapText="1"/>
    </xf>
    <xf numFmtId="0" fontId="44" fillId="14" borderId="0" xfId="0" applyFont="1" applyFill="1" applyAlignment="1">
      <alignment horizontal="left" wrapText="1"/>
    </xf>
    <xf numFmtId="0" fontId="41" fillId="22" borderId="20" xfId="0" applyFont="1" applyFill="1" applyBorder="1" applyAlignment="1">
      <alignment horizontal="left" vertical="center" wrapText="1"/>
    </xf>
    <xf numFmtId="0" fontId="41" fillId="14" borderId="0" xfId="0" applyFont="1" applyFill="1" applyAlignment="1">
      <alignment horizontal="left" vertical="center" wrapText="1"/>
    </xf>
    <xf numFmtId="0" fontId="41" fillId="22" borderId="13" xfId="0" applyFont="1" applyFill="1" applyBorder="1" applyAlignment="1">
      <alignment horizontal="left" vertical="center"/>
    </xf>
    <xf numFmtId="0" fontId="41" fillId="22" borderId="19" xfId="0" applyFont="1" applyFill="1" applyBorder="1" applyAlignment="1">
      <alignment horizontal="left" vertical="center"/>
    </xf>
    <xf numFmtId="0" fontId="41" fillId="22" borderId="18" xfId="0" applyFont="1" applyFill="1" applyBorder="1" applyAlignment="1">
      <alignment horizontal="left" vertical="center"/>
    </xf>
    <xf numFmtId="0" fontId="49" fillId="20" borderId="12" xfId="0" applyFont="1" applyFill="1" applyBorder="1" applyAlignment="1">
      <alignment horizontal="left" vertical="center" wrapText="1" indent="1"/>
    </xf>
    <xf numFmtId="0" fontId="49" fillId="19" borderId="12" xfId="0" applyFont="1" applyFill="1" applyBorder="1" applyAlignment="1">
      <alignment horizontal="left" vertical="center" wrapText="1" indent="1"/>
    </xf>
    <xf numFmtId="0" fontId="41" fillId="21" borderId="20" xfId="0" applyFont="1" applyFill="1" applyBorder="1" applyAlignment="1">
      <alignment horizontal="left" vertical="center" wrapText="1"/>
    </xf>
    <xf numFmtId="0" fontId="41" fillId="21" borderId="12" xfId="0" applyFont="1" applyFill="1" applyBorder="1" applyAlignment="1">
      <alignment horizontal="left" vertical="center"/>
    </xf>
    <xf numFmtId="0" fontId="41" fillId="21" borderId="12" xfId="0" applyFont="1" applyFill="1" applyBorder="1" applyAlignment="1">
      <alignment horizontal="left" vertical="center" wrapText="1"/>
    </xf>
    <xf numFmtId="0" fontId="41" fillId="21" borderId="16" xfId="0" applyFont="1" applyFill="1" applyBorder="1" applyAlignment="1">
      <alignment horizontal="left" vertical="center" wrapText="1"/>
    </xf>
    <xf numFmtId="0" fontId="41" fillId="21" borderId="12" xfId="0" applyFont="1" applyFill="1" applyBorder="1" applyAlignment="1">
      <alignment horizontal="justify" vertical="center" wrapText="1"/>
    </xf>
    <xf numFmtId="0" fontId="38" fillId="19" borderId="13" xfId="0" applyFont="1" applyFill="1" applyBorder="1" applyAlignment="1">
      <alignment horizontal="left" vertical="center" wrapText="1"/>
    </xf>
    <xf numFmtId="0" fontId="38" fillId="19" borderId="19" xfId="0" applyFont="1" applyFill="1" applyBorder="1" applyAlignment="1">
      <alignment horizontal="left" vertical="center" wrapText="1"/>
    </xf>
    <xf numFmtId="0" fontId="38" fillId="19" borderId="18" xfId="0" applyFont="1" applyFill="1" applyBorder="1" applyAlignment="1">
      <alignment horizontal="left" vertical="center" wrapText="1"/>
    </xf>
    <xf numFmtId="168" fontId="38" fillId="20" borderId="13" xfId="0" applyNumberFormat="1" applyFont="1" applyFill="1" applyBorder="1" applyAlignment="1">
      <alignment horizontal="left" vertical="center" wrapText="1"/>
    </xf>
    <xf numFmtId="168" fontId="38" fillId="20" borderId="19" xfId="0" applyNumberFormat="1" applyFont="1" applyFill="1" applyBorder="1" applyAlignment="1">
      <alignment horizontal="left" vertical="center" wrapText="1"/>
    </xf>
    <xf numFmtId="168" fontId="38" fillId="20" borderId="18" xfId="0" applyNumberFormat="1" applyFont="1" applyFill="1" applyBorder="1" applyAlignment="1">
      <alignment horizontal="left" vertical="center" wrapText="1"/>
    </xf>
    <xf numFmtId="168" fontId="38" fillId="19" borderId="13" xfId="0" applyNumberFormat="1" applyFont="1" applyFill="1" applyBorder="1" applyAlignment="1">
      <alignment horizontal="left" vertical="center" wrapText="1"/>
    </xf>
    <xf numFmtId="168" fontId="38" fillId="19" borderId="19" xfId="0" applyNumberFormat="1" applyFont="1" applyFill="1" applyBorder="1" applyAlignment="1">
      <alignment horizontal="left" vertical="center" wrapText="1"/>
    </xf>
    <xf numFmtId="168" fontId="38" fillId="19" borderId="18" xfId="0" applyNumberFormat="1" applyFont="1" applyFill="1" applyBorder="1" applyAlignment="1">
      <alignment horizontal="left" vertical="center" wrapText="1"/>
    </xf>
    <xf numFmtId="0" fontId="38" fillId="19" borderId="13" xfId="0" applyFont="1" applyFill="1" applyBorder="1" applyAlignment="1">
      <alignment horizontal="left" wrapText="1"/>
    </xf>
    <xf numFmtId="0" fontId="38" fillId="19" borderId="19" xfId="0" applyFont="1" applyFill="1" applyBorder="1" applyAlignment="1">
      <alignment horizontal="left" wrapText="1"/>
    </xf>
    <xf numFmtId="0" fontId="38" fillId="19" borderId="18" xfId="0" applyFont="1" applyFill="1" applyBorder="1" applyAlignment="1">
      <alignment horizontal="left" wrapText="1"/>
    </xf>
    <xf numFmtId="0" fontId="38" fillId="20" borderId="13" xfId="0" applyFont="1" applyFill="1" applyBorder="1" applyAlignment="1">
      <alignment horizontal="left" vertical="center" wrapText="1"/>
    </xf>
    <xf numFmtId="0" fontId="38" fillId="20" borderId="19" xfId="0" applyFont="1" applyFill="1" applyBorder="1" applyAlignment="1">
      <alignment horizontal="left" vertical="center" wrapText="1"/>
    </xf>
    <xf numFmtId="0" fontId="38" fillId="20" borderId="18" xfId="0" applyFont="1" applyFill="1" applyBorder="1" applyAlignment="1">
      <alignment horizontal="left" vertical="center" wrapText="1"/>
    </xf>
    <xf numFmtId="0" fontId="41" fillId="21" borderId="13" xfId="0" applyFont="1" applyFill="1" applyBorder="1" applyAlignment="1">
      <alignment horizontal="left" vertical="center" wrapText="1"/>
    </xf>
    <xf numFmtId="0" fontId="41" fillId="21" borderId="19" xfId="0" applyFont="1" applyFill="1" applyBorder="1" applyAlignment="1">
      <alignment horizontal="left" vertical="center" wrapText="1"/>
    </xf>
    <xf numFmtId="0" fontId="41" fillId="21" borderId="18" xfId="0" applyFont="1" applyFill="1" applyBorder="1" applyAlignment="1">
      <alignment horizontal="left" vertical="center" wrapText="1"/>
    </xf>
    <xf numFmtId="0" fontId="41" fillId="21" borderId="13" xfId="0" applyFont="1" applyFill="1" applyBorder="1" applyAlignment="1">
      <alignment horizontal="left" vertical="center"/>
    </xf>
    <xf numFmtId="0" fontId="41" fillId="21" borderId="19" xfId="0" applyFont="1" applyFill="1" applyBorder="1" applyAlignment="1">
      <alignment horizontal="left" vertical="center"/>
    </xf>
    <xf numFmtId="0" fontId="41" fillId="21" borderId="18" xfId="0" applyFont="1" applyFill="1" applyBorder="1" applyAlignment="1">
      <alignment horizontal="left" vertical="center"/>
    </xf>
    <xf numFmtId="0" fontId="37" fillId="19" borderId="13" xfId="0" applyFont="1" applyFill="1" applyBorder="1" applyAlignment="1">
      <alignment horizontal="left"/>
    </xf>
    <xf numFmtId="0" fontId="37" fillId="19" borderId="19" xfId="0" applyFont="1" applyFill="1" applyBorder="1" applyAlignment="1">
      <alignment horizontal="left"/>
    </xf>
    <xf numFmtId="0" fontId="37" fillId="19" borderId="18" xfId="0" applyFont="1" applyFill="1" applyBorder="1" applyAlignment="1">
      <alignment horizontal="left"/>
    </xf>
    <xf numFmtId="166" fontId="44" fillId="23" borderId="12" xfId="0" applyNumberFormat="1" applyFont="1" applyFill="1" applyBorder="1" applyAlignment="1">
      <alignment horizontal="center" vertical="center"/>
    </xf>
    <xf numFmtId="165" fontId="44" fillId="23" borderId="12" xfId="0" applyNumberFormat="1" applyFont="1" applyFill="1" applyBorder="1" applyAlignment="1">
      <alignment horizontal="center" vertical="center"/>
    </xf>
    <xf numFmtId="0" fontId="35" fillId="0" borderId="0" xfId="4" applyFont="1" applyAlignment="1">
      <alignment horizontal="center" vertical="center"/>
    </xf>
    <xf numFmtId="0" fontId="33" fillId="10" borderId="9" xfId="4" applyFont="1" applyFill="1" applyBorder="1" applyAlignment="1">
      <alignment horizontal="center" vertical="center"/>
    </xf>
    <xf numFmtId="0" fontId="33" fillId="10" borderId="1" xfId="4" applyFont="1" applyFill="1" applyBorder="1" applyAlignment="1">
      <alignment horizontal="center" vertical="center"/>
    </xf>
    <xf numFmtId="0" fontId="33" fillId="10" borderId="2" xfId="4" applyFont="1" applyFill="1" applyBorder="1" applyAlignment="1">
      <alignment horizontal="center" vertical="center"/>
    </xf>
    <xf numFmtId="0" fontId="33" fillId="10" borderId="4" xfId="4" applyFont="1" applyFill="1" applyBorder="1" applyAlignment="1">
      <alignment horizontal="center" vertical="center"/>
    </xf>
    <xf numFmtId="0" fontId="33" fillId="10" borderId="3" xfId="4" applyFont="1" applyFill="1" applyBorder="1" applyAlignment="1">
      <alignment horizontal="center" vertical="center"/>
    </xf>
    <xf numFmtId="0" fontId="38" fillId="13" borderId="12" xfId="0" applyFont="1" applyFill="1" applyBorder="1" applyAlignment="1">
      <alignment horizontal="left" vertical="center" wrapText="1"/>
    </xf>
    <xf numFmtId="0" fontId="41" fillId="16" borderId="12" xfId="0" applyFont="1" applyFill="1" applyBorder="1" applyAlignment="1">
      <alignment horizontal="left" vertical="center"/>
    </xf>
    <xf numFmtId="0" fontId="38" fillId="15" borderId="12" xfId="0" applyFont="1" applyFill="1" applyBorder="1" applyAlignment="1">
      <alignment horizontal="left" vertical="center" wrapText="1"/>
    </xf>
    <xf numFmtId="0" fontId="43" fillId="14" borderId="17" xfId="0" applyFont="1" applyFill="1" applyBorder="1" applyAlignment="1">
      <alignment horizontal="left" vertical="center" wrapText="1"/>
    </xf>
    <xf numFmtId="0" fontId="41" fillId="16" borderId="12" xfId="0" applyFont="1" applyFill="1" applyBorder="1" applyAlignment="1">
      <alignment horizontal="justify" vertical="center" wrapText="1"/>
    </xf>
    <xf numFmtId="0" fontId="38" fillId="13" borderId="12" xfId="0" applyFont="1" applyFill="1" applyBorder="1" applyAlignment="1">
      <alignment horizontal="justify" vertical="center"/>
    </xf>
    <xf numFmtId="0" fontId="38" fillId="15" borderId="12" xfId="0" applyFont="1" applyFill="1" applyBorder="1" applyAlignment="1">
      <alignment horizontal="justify" vertical="center"/>
    </xf>
    <xf numFmtId="0" fontId="38" fillId="14" borderId="0" xfId="0" applyFont="1" applyFill="1" applyAlignment="1">
      <alignment horizontal="justify" vertical="center" wrapText="1"/>
    </xf>
    <xf numFmtId="0" fontId="41" fillId="16" borderId="12" xfId="0" applyFont="1" applyFill="1" applyBorder="1" applyAlignment="1">
      <alignment horizontal="left" vertical="center" wrapText="1"/>
    </xf>
    <xf numFmtId="168" fontId="38" fillId="15" borderId="12" xfId="0" applyNumberFormat="1" applyFont="1" applyFill="1" applyBorder="1" applyAlignment="1">
      <alignment horizontal="left" vertical="center" wrapText="1"/>
    </xf>
    <xf numFmtId="0" fontId="38" fillId="15" borderId="12" xfId="0" applyFont="1" applyFill="1" applyBorder="1" applyAlignment="1">
      <alignment horizontal="left"/>
    </xf>
    <xf numFmtId="0" fontId="38" fillId="15" borderId="12" xfId="0" applyFont="1" applyFill="1" applyBorder="1" applyAlignment="1">
      <alignment horizontal="left" vertical="center"/>
    </xf>
    <xf numFmtId="168" fontId="38" fillId="13" borderId="12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0" fontId="38" fillId="27" borderId="12" xfId="0" applyNumberFormat="1" applyFont="1" applyFill="1" applyBorder="1" applyAlignment="1">
      <alignment horizontal="center" vertical="center" wrapText="1"/>
    </xf>
    <xf numFmtId="10" fontId="38" fillId="28" borderId="14" xfId="0" applyNumberFormat="1" applyFont="1" applyFill="1" applyBorder="1" applyAlignment="1">
      <alignment horizontal="center" vertical="center"/>
    </xf>
  </cellXfs>
  <cellStyles count="6">
    <cellStyle name="Moeda" xfId="2" builtinId="4"/>
    <cellStyle name="Normal" xfId="0" builtinId="0"/>
    <cellStyle name="Normal 2" xfId="3" xr:uid="{0EFE125B-ED75-4983-9B66-A3A6DF7B5829}"/>
    <cellStyle name="Normal 3" xfId="4" xr:uid="{12FFDB0F-9605-41C1-860B-A48425751DCD}"/>
    <cellStyle name="Porcentagem" xfId="5" builtinId="5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6D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AE7CA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7CBB664D-6D7C-4B04-A778-054DC8BB4A05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A6FC0A55-F93E-4B52-8031-E2EAC368CEB6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360</xdr:colOff>
      <xdr:row>7</xdr:row>
      <xdr:rowOff>360</xdr:rowOff>
    </xdr:from>
    <xdr:to>
      <xdr:col>2</xdr:col>
      <xdr:colOff>324000</xdr:colOff>
      <xdr:row>8</xdr:row>
      <xdr:rowOff>142920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DA8B73C3-7F74-4014-B715-F4ECCF2BEEE9}"/>
            </a:ext>
          </a:extLst>
        </xdr:cNvPr>
        <xdr:cNvSpPr/>
      </xdr:nvSpPr>
      <xdr:spPr>
        <a:xfrm>
          <a:off x="6143985" y="1352910"/>
          <a:ext cx="323640" cy="3425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</xdr:col>
      <xdr:colOff>3867120</xdr:colOff>
      <xdr:row>0</xdr:row>
      <xdr:rowOff>114480</xdr:rowOff>
    </xdr:from>
    <xdr:to>
      <xdr:col>1</xdr:col>
      <xdr:colOff>4533480</xdr:colOff>
      <xdr:row>4</xdr:row>
      <xdr:rowOff>105120</xdr:rowOff>
    </xdr:to>
    <xdr:pic>
      <xdr:nvPicPr>
        <xdr:cNvPr id="5" name="image1.png" descr="C:\Users\JulianoLibraga\AppData\Local\Microsoft\Windows\Temporary Internet Files\Content.MSO\A83E6058.tmp">
          <a:extLst>
            <a:ext uri="{FF2B5EF4-FFF2-40B4-BE49-F238E27FC236}">
              <a16:creationId xmlns:a16="http://schemas.microsoft.com/office/drawing/2014/main" id="{88D8A68E-5EDB-4B40-BE38-95683D6BD14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67145" y="114480"/>
          <a:ext cx="666360" cy="7526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-P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Users/AppData/Local/Temp/contrata&#231;&#227;o%20emergencial/TR/Vigil&#226;ncia/Users/Usuario/Documents/Vigil&#226;ncia/MODELO-PLANILHA-PADRAO-MODULOS-IN-5-2017-ALTERADA-PELA-IN-7-2018-VIGILANCIA.xlsx?98A5A81E" TargetMode="External"/><Relationship Id="rId1" Type="http://schemas.openxmlformats.org/officeDocument/2006/relationships/externalLinkPath" Target="file:///\\98A5A81E\MODELO-PLANILHA-PADRAO-MODULOS-IN-5-2017-ALTERADA-PELA-IN-7-2018-VIGILA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6">
          <cell r="D6" t="str">
            <v>X.XX.XXX.XXXXXX/20XX-XX</v>
          </cell>
        </row>
        <row r="7">
          <cell r="D7" t="str">
            <v>Pregão nº</v>
          </cell>
          <cell r="F7" t="str">
            <v>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  <cell r="F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>
            <v>30</v>
          </cell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0.44472535049413903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>
        <row r="9">
          <cell r="B9">
            <v>115.05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Encarregado Geral-Estimado"/>
      <sheetName val="Encarregado Geral"/>
      <sheetName val="Oficial de Manutenção-Estimado"/>
      <sheetName val="Oficial de Manutenção"/>
      <sheetName val="Auxiliar de Manutenção-Estimado"/>
      <sheetName val="Auxiliar de Manutenção"/>
      <sheetName val="Eletrotécnico-Estimado"/>
      <sheetName val="Eletrotécnico"/>
      <sheetName val="Uniforme"/>
      <sheetName val="Materiais de Reposição - PRPA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">
          <cell r="F5">
            <v>7</v>
          </cell>
        </row>
        <row r="8">
          <cell r="F8">
            <v>12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E3326-FBBE-4F2A-8D98-0A53C235767E}">
  <sheetPr>
    <pageSetUpPr fitToPage="1"/>
  </sheetPr>
  <dimension ref="A1:BL34"/>
  <sheetViews>
    <sheetView showGridLines="0" tabSelected="1" view="pageBreakPreview" zoomScale="120" zoomScaleNormal="120" zoomScaleSheetLayoutView="120" zoomScalePageLayoutView="90" workbookViewId="0">
      <selection activeCell="A8" sqref="A8:J8"/>
    </sheetView>
  </sheetViews>
  <sheetFormatPr defaultRowHeight="12.75"/>
  <cols>
    <col min="1" max="1" width="7.7109375" customWidth="1"/>
    <col min="2" max="10" width="17.85546875" customWidth="1"/>
    <col min="11" max="64" width="11.7109375" customWidth="1"/>
  </cols>
  <sheetData>
    <row r="1" spans="1:64" ht="12.75" customHeight="1">
      <c r="A1" s="205" t="s">
        <v>26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64" ht="18" customHeight="1">
      <c r="A2" s="205"/>
      <c r="B2" s="205"/>
      <c r="C2" s="205"/>
      <c r="D2" s="205"/>
      <c r="E2" s="205"/>
      <c r="F2" s="205"/>
      <c r="G2" s="205"/>
      <c r="H2" s="205"/>
      <c r="I2" s="205"/>
      <c r="J2" s="205"/>
    </row>
    <row r="4" spans="1:64" ht="18">
      <c r="A4" s="206" t="s">
        <v>309</v>
      </c>
      <c r="B4" s="206"/>
      <c r="C4" s="206"/>
      <c r="D4" s="206"/>
      <c r="E4" s="206"/>
      <c r="F4" s="206"/>
      <c r="G4" s="206"/>
      <c r="H4" s="206"/>
      <c r="I4" s="206"/>
      <c r="J4" s="206"/>
    </row>
    <row r="8" spans="1:64" ht="36" customHeight="1">
      <c r="A8" s="204" t="s">
        <v>25</v>
      </c>
      <c r="B8" s="204"/>
      <c r="C8" s="204"/>
      <c r="D8" s="204"/>
      <c r="E8" s="204"/>
      <c r="F8" s="204"/>
      <c r="G8" s="204"/>
      <c r="H8" s="204"/>
      <c r="I8" s="204"/>
      <c r="J8" s="204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>
      <c r="A9" s="4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2.75" customHeight="1">
      <c r="A10" s="7">
        <v>1</v>
      </c>
      <c r="B10" s="204" t="s">
        <v>0</v>
      </c>
      <c r="C10" s="204"/>
      <c r="D10" s="204"/>
      <c r="E10" s="204"/>
      <c r="F10" s="204"/>
      <c r="G10" s="204"/>
      <c r="H10" s="204"/>
      <c r="I10" s="204"/>
      <c r="J10" s="204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64" ht="24.6" customHeight="1">
      <c r="A12" s="7">
        <v>2</v>
      </c>
      <c r="B12" s="204" t="s">
        <v>1</v>
      </c>
      <c r="C12" s="204"/>
      <c r="D12" s="204"/>
      <c r="E12" s="204"/>
      <c r="F12" s="204"/>
      <c r="G12" s="204"/>
      <c r="H12" s="204"/>
      <c r="I12" s="204"/>
      <c r="J12" s="204"/>
    </row>
    <row r="13" spans="1:64">
      <c r="A13" s="7"/>
      <c r="B13" s="8"/>
      <c r="C13" s="8"/>
      <c r="D13" s="8"/>
      <c r="E13" s="9"/>
      <c r="F13" s="10"/>
      <c r="G13" s="10"/>
      <c r="H13" s="8"/>
      <c r="I13" s="10"/>
      <c r="J13" s="10"/>
    </row>
    <row r="14" spans="1:64" ht="24.6" customHeight="1">
      <c r="A14" s="7">
        <v>3</v>
      </c>
      <c r="B14" s="204" t="s">
        <v>2</v>
      </c>
      <c r="C14" s="204"/>
      <c r="D14" s="204"/>
      <c r="E14" s="204"/>
      <c r="F14" s="204"/>
      <c r="G14" s="204"/>
      <c r="H14" s="204"/>
      <c r="I14" s="204"/>
      <c r="J14" s="204"/>
    </row>
    <row r="15" spans="1:64">
      <c r="A15" s="7"/>
      <c r="B15" s="8"/>
      <c r="C15" s="8"/>
      <c r="D15" s="8"/>
      <c r="E15" s="9"/>
      <c r="F15" s="10"/>
      <c r="G15" s="10"/>
      <c r="H15" s="8"/>
      <c r="I15" s="10"/>
      <c r="J15" s="10"/>
    </row>
    <row r="16" spans="1:64" ht="24.6" customHeight="1">
      <c r="A16" s="7">
        <v>4</v>
      </c>
      <c r="B16" s="204" t="s">
        <v>27</v>
      </c>
      <c r="C16" s="204"/>
      <c r="D16" s="204"/>
      <c r="E16" s="204"/>
      <c r="F16" s="204"/>
      <c r="G16" s="204"/>
      <c r="H16" s="204"/>
      <c r="I16" s="204"/>
      <c r="J16" s="204"/>
    </row>
    <row r="17" spans="1:10">
      <c r="A17" s="7"/>
      <c r="B17" s="3"/>
      <c r="C17" s="3"/>
      <c r="D17" s="3"/>
      <c r="E17" s="3"/>
      <c r="F17" s="3"/>
      <c r="G17" s="3"/>
      <c r="H17" s="3"/>
      <c r="I17" s="3"/>
      <c r="J17" s="3"/>
    </row>
    <row r="18" spans="1:10" ht="12.95" customHeight="1">
      <c r="A18" s="7">
        <v>5</v>
      </c>
      <c r="B18" s="204" t="s">
        <v>3</v>
      </c>
      <c r="C18" s="204"/>
      <c r="D18" s="204"/>
      <c r="E18" s="204"/>
      <c r="F18" s="204"/>
      <c r="G18" s="204"/>
      <c r="H18" s="204"/>
      <c r="I18" s="204"/>
      <c r="J18" s="204"/>
    </row>
    <row r="19" spans="1:10">
      <c r="A19" s="7"/>
      <c r="B19" s="8"/>
      <c r="C19" s="8"/>
      <c r="D19" s="8"/>
      <c r="E19" s="9"/>
      <c r="F19" s="10"/>
      <c r="G19" s="10"/>
      <c r="H19" s="8"/>
      <c r="I19" s="10"/>
      <c r="J19" s="10"/>
    </row>
    <row r="20" spans="1:10" ht="45" customHeight="1">
      <c r="A20" s="7">
        <v>6</v>
      </c>
      <c r="B20" s="204" t="s">
        <v>479</v>
      </c>
      <c r="C20" s="204"/>
      <c r="D20" s="204"/>
      <c r="E20" s="204"/>
      <c r="F20" s="204"/>
      <c r="G20" s="204"/>
      <c r="H20" s="204"/>
      <c r="I20" s="204"/>
      <c r="J20" s="204"/>
    </row>
    <row r="21" spans="1:10">
      <c r="A21" s="7"/>
      <c r="B21" s="3"/>
      <c r="C21" s="3"/>
      <c r="D21" s="3"/>
      <c r="E21" s="3"/>
      <c r="F21" s="3"/>
      <c r="G21" s="3"/>
      <c r="H21" s="3"/>
      <c r="I21" s="3"/>
      <c r="J21" s="3"/>
    </row>
    <row r="22" spans="1:10" ht="30.75" customHeight="1">
      <c r="A22" s="11">
        <v>7</v>
      </c>
      <c r="B22" s="204" t="s">
        <v>480</v>
      </c>
      <c r="C22" s="204"/>
      <c r="D22" s="204"/>
      <c r="E22" s="204"/>
      <c r="F22" s="204"/>
      <c r="G22" s="204"/>
      <c r="H22" s="204"/>
      <c r="I22" s="204"/>
      <c r="J22" s="204"/>
    </row>
    <row r="24" spans="1:10" ht="27.75" customHeight="1">
      <c r="A24" s="7">
        <v>8</v>
      </c>
      <c r="B24" s="204" t="s">
        <v>312</v>
      </c>
      <c r="C24" s="204"/>
      <c r="D24" s="204"/>
      <c r="E24" s="204"/>
      <c r="F24" s="204"/>
      <c r="G24" s="204"/>
      <c r="H24" s="204"/>
      <c r="I24" s="204"/>
      <c r="J24" s="204"/>
    </row>
    <row r="25" spans="1:10" ht="10.5" customHeight="1"/>
    <row r="26" spans="1:10" ht="26.25" customHeight="1">
      <c r="A26" s="7">
        <v>9</v>
      </c>
      <c r="B26" s="204" t="s">
        <v>311</v>
      </c>
      <c r="C26" s="204"/>
      <c r="D26" s="204"/>
      <c r="E26" s="204"/>
      <c r="F26" s="204"/>
      <c r="G26" s="204"/>
      <c r="H26" s="204"/>
      <c r="I26" s="204"/>
      <c r="J26" s="204"/>
    </row>
    <row r="27" spans="1:10" ht="14.25" customHeight="1"/>
    <row r="28" spans="1:10" ht="39.75" customHeight="1">
      <c r="A28" s="7">
        <v>10</v>
      </c>
      <c r="B28" s="204" t="s">
        <v>310</v>
      </c>
      <c r="C28" s="204"/>
      <c r="D28" s="204"/>
      <c r="E28" s="204"/>
      <c r="F28" s="204"/>
      <c r="G28" s="204"/>
      <c r="H28" s="204"/>
      <c r="I28" s="204"/>
      <c r="J28" s="204"/>
    </row>
    <row r="30" spans="1:10">
      <c r="A30" s="7">
        <v>11</v>
      </c>
      <c r="B30" s="204" t="s">
        <v>487</v>
      </c>
      <c r="C30" s="204"/>
      <c r="D30" s="204"/>
      <c r="E30" s="204"/>
      <c r="F30" s="204"/>
      <c r="G30" s="204"/>
      <c r="H30" s="204"/>
      <c r="I30" s="204"/>
      <c r="J30" s="204"/>
    </row>
    <row r="32" spans="1:10" ht="30" customHeight="1">
      <c r="A32" s="7">
        <v>12</v>
      </c>
      <c r="B32" s="204" t="s">
        <v>488</v>
      </c>
      <c r="C32" s="204"/>
      <c r="D32" s="204"/>
      <c r="E32" s="204"/>
      <c r="F32" s="204"/>
      <c r="G32" s="204"/>
      <c r="H32" s="204"/>
      <c r="I32" s="204"/>
      <c r="J32" s="204"/>
    </row>
    <row r="34" spans="1:10" ht="35.25" customHeight="1">
      <c r="A34" s="7">
        <v>13</v>
      </c>
      <c r="B34" s="349" t="s">
        <v>489</v>
      </c>
      <c r="C34" s="349"/>
      <c r="D34" s="349"/>
      <c r="E34" s="349"/>
      <c r="F34" s="349"/>
      <c r="G34" s="349"/>
      <c r="H34" s="349"/>
      <c r="I34" s="349"/>
      <c r="J34" s="349"/>
    </row>
  </sheetData>
  <sheetProtection sheet="1" objects="1" scenarios="1"/>
  <mergeCells count="16">
    <mergeCell ref="B28:J28"/>
    <mergeCell ref="B30:J30"/>
    <mergeCell ref="B32:J32"/>
    <mergeCell ref="B34:J34"/>
    <mergeCell ref="B16:J16"/>
    <mergeCell ref="B18:J18"/>
    <mergeCell ref="B20:J20"/>
    <mergeCell ref="B22:J22"/>
    <mergeCell ref="B24:J24"/>
    <mergeCell ref="B26:J26"/>
    <mergeCell ref="A1:J2"/>
    <mergeCell ref="A4:J4"/>
    <mergeCell ref="A8:J8"/>
    <mergeCell ref="B10:J10"/>
    <mergeCell ref="B12:J12"/>
    <mergeCell ref="B14:J14"/>
  </mergeCells>
  <printOptions horizontalCentered="1" verticalCentered="1"/>
  <pageMargins left="0.78749999999999998" right="0.78749999999999998" top="1.2993055555555599" bottom="0.94513888888888897" header="0.78749999999999998" footer="0.78749999999999998"/>
  <pageSetup paperSize="9" scale="66" orientation="landscape" useFirstPageNumber="1" horizontalDpi="300" verticalDpi="300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6"/>
  <sheetViews>
    <sheetView showGridLines="0" view="pageBreakPreview" zoomScale="120" zoomScaleNormal="120" zoomScaleSheetLayoutView="120" zoomScalePageLayoutView="90" workbookViewId="0">
      <selection activeCell="G28" sqref="G28:G36"/>
    </sheetView>
  </sheetViews>
  <sheetFormatPr defaultRowHeight="12.75"/>
  <cols>
    <col min="1" max="1" width="9.140625" customWidth="1"/>
    <col min="2" max="4" width="15.28515625" customWidth="1"/>
    <col min="5" max="5" width="13.140625" customWidth="1"/>
    <col min="6" max="9" width="15.28515625" customWidth="1"/>
    <col min="10" max="62" width="11.7109375" customWidth="1"/>
    <col min="63" max="1025" width="11.5703125"/>
  </cols>
  <sheetData>
    <row r="1" spans="1:9" ht="18">
      <c r="A1" s="2"/>
      <c r="B1" s="2"/>
      <c r="C1" s="2"/>
      <c r="D1" s="2"/>
      <c r="E1" s="2"/>
      <c r="F1" s="2"/>
      <c r="G1" s="2"/>
      <c r="H1" s="2"/>
      <c r="I1" s="2"/>
    </row>
    <row r="2" spans="1:9" ht="17.45" customHeight="1">
      <c r="A2" s="229" t="s">
        <v>28</v>
      </c>
      <c r="B2" s="229"/>
      <c r="C2" s="229"/>
      <c r="D2" s="229"/>
      <c r="E2" s="229"/>
      <c r="F2" s="229"/>
      <c r="G2" s="229"/>
      <c r="H2" s="229"/>
      <c r="I2" s="229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 ht="17.45" customHeight="1">
      <c r="A4" s="229" t="s">
        <v>309</v>
      </c>
      <c r="B4" s="229"/>
      <c r="C4" s="229"/>
      <c r="D4" s="229"/>
      <c r="E4" s="229"/>
      <c r="F4" s="229"/>
      <c r="G4" s="229"/>
      <c r="H4" s="229"/>
      <c r="I4" s="229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 ht="17.45" customHeight="1">
      <c r="A6" s="230" t="s">
        <v>4</v>
      </c>
      <c r="B6" s="230"/>
      <c r="C6" s="230"/>
      <c r="D6" s="230"/>
      <c r="E6" s="230"/>
      <c r="F6" s="230"/>
      <c r="G6" s="230"/>
      <c r="H6" s="230"/>
      <c r="I6" s="230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14" customHeight="1">
      <c r="A8" s="231" t="s">
        <v>39</v>
      </c>
      <c r="B8" s="231"/>
      <c r="C8" s="231"/>
      <c r="D8" s="231"/>
      <c r="E8" s="231"/>
      <c r="F8" s="231"/>
      <c r="G8" s="231"/>
      <c r="H8" s="231"/>
      <c r="I8" s="231"/>
    </row>
    <row r="9" spans="1:9" ht="15">
      <c r="A9" s="13"/>
      <c r="B9" s="13"/>
      <c r="C9" s="13"/>
      <c r="D9" s="13"/>
      <c r="E9" s="13"/>
      <c r="F9" s="13"/>
      <c r="G9" s="13"/>
      <c r="H9" s="13"/>
      <c r="I9" s="13"/>
    </row>
    <row r="10" spans="1:9" ht="14.1" customHeight="1">
      <c r="A10" s="13"/>
      <c r="B10" s="232" t="s">
        <v>5</v>
      </c>
      <c r="C10" s="232"/>
      <c r="D10" s="232"/>
      <c r="E10" s="232"/>
      <c r="F10" s="13"/>
      <c r="G10" s="13"/>
      <c r="H10" s="13"/>
      <c r="I10" s="13"/>
    </row>
    <row r="11" spans="1:9" ht="14.1" customHeight="1">
      <c r="A11" s="14"/>
      <c r="B11" s="234" t="s">
        <v>6</v>
      </c>
      <c r="C11" s="234"/>
      <c r="D11" s="235" t="s">
        <v>29</v>
      </c>
      <c r="E11" s="235"/>
      <c r="F11" s="14"/>
      <c r="G11" s="14"/>
      <c r="H11" s="14"/>
      <c r="I11" s="14"/>
    </row>
    <row r="12" spans="1:9" ht="14.1" customHeight="1">
      <c r="A12" s="13"/>
      <c r="B12" s="236" t="s">
        <v>7</v>
      </c>
      <c r="C12" s="236"/>
      <c r="D12" s="237" t="s">
        <v>30</v>
      </c>
      <c r="E12" s="237"/>
      <c r="F12" s="13"/>
      <c r="G12" s="13"/>
      <c r="H12" s="13"/>
      <c r="I12" s="13"/>
    </row>
    <row r="13" spans="1:9" ht="14.25">
      <c r="A13" s="14"/>
      <c r="B13" s="14"/>
      <c r="C13" s="14"/>
      <c r="D13" s="14"/>
      <c r="E13" s="14"/>
      <c r="F13" s="14"/>
      <c r="G13" s="14"/>
      <c r="H13" s="14"/>
      <c r="I13" s="14"/>
    </row>
    <row r="14" spans="1:9" ht="14.1" customHeight="1">
      <c r="A14" s="221" t="s">
        <v>8</v>
      </c>
      <c r="B14" s="221"/>
      <c r="C14" s="221"/>
      <c r="D14" s="221"/>
      <c r="E14" s="221"/>
      <c r="F14" s="221"/>
      <c r="G14" s="221"/>
      <c r="H14" s="221"/>
      <c r="I14" s="221"/>
    </row>
    <row r="15" spans="1:9" ht="11.25" customHeight="1">
      <c r="A15" s="14"/>
      <c r="B15" s="14"/>
      <c r="C15" s="14"/>
      <c r="D15" s="14"/>
      <c r="E15" s="14"/>
      <c r="F15" s="14"/>
      <c r="G15" s="14"/>
      <c r="H15" s="14"/>
      <c r="I15" s="14"/>
    </row>
    <row r="16" spans="1:9" ht="62.25" customHeight="1">
      <c r="A16" s="32" t="s">
        <v>9</v>
      </c>
      <c r="B16" s="233" t="s">
        <v>31</v>
      </c>
      <c r="C16" s="233"/>
      <c r="D16" s="233"/>
      <c r="E16" s="233"/>
      <c r="F16" s="233"/>
      <c r="G16" s="233"/>
      <c r="H16" s="233"/>
      <c r="I16" s="233"/>
    </row>
    <row r="17" spans="1:9">
      <c r="A17" s="6"/>
      <c r="B17" s="6"/>
      <c r="C17" s="6"/>
      <c r="D17" s="6"/>
      <c r="E17" s="6"/>
      <c r="F17" s="6"/>
      <c r="G17" s="6"/>
      <c r="H17" s="6"/>
      <c r="I17" s="6"/>
    </row>
    <row r="18" spans="1:9" ht="28.5" customHeight="1">
      <c r="A18" s="218" t="s">
        <v>32</v>
      </c>
      <c r="B18" s="218"/>
      <c r="C18" s="218"/>
      <c r="D18" s="218"/>
      <c r="E18" s="31" t="s">
        <v>35</v>
      </c>
      <c r="F18" s="31" t="s">
        <v>36</v>
      </c>
      <c r="G18" s="31" t="s">
        <v>37</v>
      </c>
      <c r="H18" s="218" t="s">
        <v>38</v>
      </c>
      <c r="I18" s="218"/>
    </row>
    <row r="19" spans="1:9" ht="17.25" customHeight="1">
      <c r="A19" s="211" t="s">
        <v>33</v>
      </c>
      <c r="B19" s="211"/>
      <c r="C19" s="211"/>
      <c r="D19" s="211"/>
      <c r="E19" s="28">
        <v>6</v>
      </c>
      <c r="F19" s="28">
        <f>E19*12</f>
        <v>72</v>
      </c>
      <c r="G19" s="202"/>
      <c r="H19" s="219">
        <f>ROUNDDOWN(F19*G19,2)</f>
        <v>0</v>
      </c>
      <c r="I19" s="219"/>
    </row>
    <row r="20" spans="1:9" ht="17.25" customHeight="1">
      <c r="A20" s="211" t="s">
        <v>34</v>
      </c>
      <c r="B20" s="211"/>
      <c r="C20" s="211"/>
      <c r="D20" s="211"/>
      <c r="E20" s="28">
        <v>6</v>
      </c>
      <c r="F20" s="28">
        <f>E20*12</f>
        <v>72</v>
      </c>
      <c r="G20" s="202"/>
      <c r="H20" s="219">
        <f>ROUNDDOWN(F20*G20,2)</f>
        <v>0</v>
      </c>
      <c r="I20" s="219"/>
    </row>
    <row r="21" spans="1:9" ht="12.75" customHeight="1">
      <c r="A21" s="224" t="s">
        <v>40</v>
      </c>
      <c r="B21" s="224"/>
      <c r="C21" s="224"/>
      <c r="D21" s="224"/>
      <c r="E21" s="224"/>
      <c r="F21" s="224"/>
      <c r="G21" s="224"/>
      <c r="H21" s="220">
        <f>SUM(H19:H20)</f>
        <v>0</v>
      </c>
      <c r="I21" s="220"/>
    </row>
    <row r="22" spans="1:9">
      <c r="A22" s="6"/>
      <c r="B22" s="6"/>
      <c r="C22" s="6"/>
      <c r="D22" s="6"/>
      <c r="E22" s="6"/>
      <c r="F22" s="6"/>
      <c r="G22" s="6"/>
      <c r="H22" s="6"/>
      <c r="I22" s="6"/>
    </row>
    <row r="23" spans="1:9" ht="28.5" customHeight="1">
      <c r="A23" s="218" t="s">
        <v>41</v>
      </c>
      <c r="B23" s="218"/>
      <c r="C23" s="218"/>
      <c r="D23" s="218"/>
      <c r="E23" s="31" t="s">
        <v>44</v>
      </c>
      <c r="F23" s="31" t="s">
        <v>45</v>
      </c>
      <c r="G23" s="31" t="s">
        <v>46</v>
      </c>
      <c r="H23" s="218" t="s">
        <v>38</v>
      </c>
      <c r="I23" s="218"/>
    </row>
    <row r="24" spans="1:9" ht="27" customHeight="1">
      <c r="A24" s="211" t="s">
        <v>42</v>
      </c>
      <c r="B24" s="211"/>
      <c r="C24" s="211"/>
      <c r="D24" s="211"/>
      <c r="E24" s="28">
        <v>1</v>
      </c>
      <c r="F24" s="28">
        <v>220</v>
      </c>
      <c r="G24" s="28">
        <f>'Oficial de Manutenção'!VALOR_TOTAL_EMPREGADO</f>
        <v>0</v>
      </c>
      <c r="H24" s="219">
        <f t="shared" ref="H24" si="0">G24*12</f>
        <v>0</v>
      </c>
      <c r="I24" s="219"/>
    </row>
    <row r="25" spans="1:9" ht="12.75" customHeight="1">
      <c r="A25" s="224" t="s">
        <v>47</v>
      </c>
      <c r="B25" s="224"/>
      <c r="C25" s="224"/>
      <c r="D25" s="224"/>
      <c r="E25" s="224"/>
      <c r="F25" s="224"/>
      <c r="G25" s="224"/>
      <c r="H25" s="220">
        <f>SUM(H24:I24)</f>
        <v>0</v>
      </c>
      <c r="I25" s="220"/>
    </row>
    <row r="26" spans="1:9">
      <c r="A26" s="6"/>
      <c r="B26" s="6"/>
      <c r="C26" s="6"/>
      <c r="D26" s="6"/>
      <c r="E26" s="6"/>
      <c r="F26" s="6"/>
      <c r="G26" s="6"/>
      <c r="H26" s="6"/>
      <c r="I26" s="6"/>
    </row>
    <row r="27" spans="1:9" ht="28.5" customHeight="1">
      <c r="A27" s="218" t="s">
        <v>56</v>
      </c>
      <c r="B27" s="218"/>
      <c r="C27" s="218"/>
      <c r="D27" s="218"/>
      <c r="E27" s="31" t="s">
        <v>45</v>
      </c>
      <c r="F27" s="31" t="s">
        <v>36</v>
      </c>
      <c r="G27" s="31" t="s">
        <v>37</v>
      </c>
      <c r="H27" s="218" t="s">
        <v>38</v>
      </c>
      <c r="I27" s="218"/>
    </row>
    <row r="28" spans="1:9" ht="12.75" customHeight="1">
      <c r="A28" s="211" t="s">
        <v>48</v>
      </c>
      <c r="B28" s="211"/>
      <c r="C28" s="211"/>
      <c r="D28" s="211"/>
      <c r="E28" s="28">
        <v>8</v>
      </c>
      <c r="F28" s="28">
        <f>E28*12</f>
        <v>96</v>
      </c>
      <c r="G28" s="202"/>
      <c r="H28" s="219">
        <f>ROUNDDOWN(F28*G28,2)</f>
        <v>0</v>
      </c>
      <c r="I28" s="219"/>
    </row>
    <row r="29" spans="1:9" ht="12.75" customHeight="1">
      <c r="A29" s="225" t="s">
        <v>49</v>
      </c>
      <c r="B29" s="225"/>
      <c r="C29" s="225"/>
      <c r="D29" s="225"/>
      <c r="E29" s="28">
        <v>8</v>
      </c>
      <c r="F29" s="28">
        <f t="shared" ref="F29:F36" si="1">E29*12</f>
        <v>96</v>
      </c>
      <c r="G29" s="202"/>
      <c r="H29" s="219">
        <f t="shared" ref="H29:H36" si="2">ROUNDDOWN(F29*G29,2)</f>
        <v>0</v>
      </c>
      <c r="I29" s="219"/>
    </row>
    <row r="30" spans="1:9" ht="12.75" customHeight="1">
      <c r="A30" s="225" t="s">
        <v>50</v>
      </c>
      <c r="B30" s="225"/>
      <c r="C30" s="225"/>
      <c r="D30" s="225"/>
      <c r="E30" s="28">
        <v>8</v>
      </c>
      <c r="F30" s="28">
        <f t="shared" si="1"/>
        <v>96</v>
      </c>
      <c r="G30" s="202"/>
      <c r="H30" s="219">
        <f t="shared" si="2"/>
        <v>0</v>
      </c>
      <c r="I30" s="219"/>
    </row>
    <row r="31" spans="1:9" ht="12.75" customHeight="1">
      <c r="A31" s="225" t="s">
        <v>51</v>
      </c>
      <c r="B31" s="225"/>
      <c r="C31" s="225"/>
      <c r="D31" s="225"/>
      <c r="E31" s="28">
        <v>8</v>
      </c>
      <c r="F31" s="28">
        <f t="shared" si="1"/>
        <v>96</v>
      </c>
      <c r="G31" s="202"/>
      <c r="H31" s="219">
        <f t="shared" si="2"/>
        <v>0</v>
      </c>
      <c r="I31" s="219"/>
    </row>
    <row r="32" spans="1:9" ht="12.75" customHeight="1">
      <c r="A32" s="225" t="s">
        <v>43</v>
      </c>
      <c r="B32" s="225"/>
      <c r="C32" s="225"/>
      <c r="D32" s="225"/>
      <c r="E32" s="28">
        <v>12</v>
      </c>
      <c r="F32" s="28">
        <f t="shared" si="1"/>
        <v>144</v>
      </c>
      <c r="G32" s="202"/>
      <c r="H32" s="219">
        <f t="shared" si="2"/>
        <v>0</v>
      </c>
      <c r="I32" s="219"/>
    </row>
    <row r="33" spans="1:9" ht="12.75" customHeight="1">
      <c r="A33" s="225" t="s">
        <v>52</v>
      </c>
      <c r="B33" s="225"/>
      <c r="C33" s="225"/>
      <c r="D33" s="225"/>
      <c r="E33" s="28">
        <v>8</v>
      </c>
      <c r="F33" s="28">
        <f t="shared" si="1"/>
        <v>96</v>
      </c>
      <c r="G33" s="202"/>
      <c r="H33" s="219">
        <f t="shared" si="2"/>
        <v>0</v>
      </c>
      <c r="I33" s="219"/>
    </row>
    <row r="34" spans="1:9" ht="12.75" customHeight="1">
      <c r="A34" s="225" t="s">
        <v>53</v>
      </c>
      <c r="B34" s="225"/>
      <c r="C34" s="225"/>
      <c r="D34" s="225"/>
      <c r="E34" s="28">
        <v>8</v>
      </c>
      <c r="F34" s="28">
        <f t="shared" si="1"/>
        <v>96</v>
      </c>
      <c r="G34" s="202"/>
      <c r="H34" s="219">
        <f t="shared" si="2"/>
        <v>0</v>
      </c>
      <c r="I34" s="219"/>
    </row>
    <row r="35" spans="1:9" ht="12.75" customHeight="1">
      <c r="A35" s="225" t="s">
        <v>54</v>
      </c>
      <c r="B35" s="225"/>
      <c r="C35" s="225"/>
      <c r="D35" s="225"/>
      <c r="E35" s="28">
        <v>8</v>
      </c>
      <c r="F35" s="28">
        <f t="shared" si="1"/>
        <v>96</v>
      </c>
      <c r="G35" s="202"/>
      <c r="H35" s="219">
        <f t="shared" si="2"/>
        <v>0</v>
      </c>
      <c r="I35" s="219"/>
    </row>
    <row r="36" spans="1:9" ht="12.75" customHeight="1">
      <c r="A36" s="223" t="s">
        <v>55</v>
      </c>
      <c r="B36" s="223"/>
      <c r="C36" s="223"/>
      <c r="D36" s="223"/>
      <c r="E36" s="28">
        <v>12</v>
      </c>
      <c r="F36" s="28">
        <f t="shared" si="1"/>
        <v>144</v>
      </c>
      <c r="G36" s="202"/>
      <c r="H36" s="219">
        <f t="shared" si="2"/>
        <v>0</v>
      </c>
      <c r="I36" s="219"/>
    </row>
    <row r="37" spans="1:9" ht="12.75" customHeight="1">
      <c r="A37" s="207" t="s">
        <v>57</v>
      </c>
      <c r="B37" s="207"/>
      <c r="C37" s="207"/>
      <c r="D37" s="207"/>
      <c r="E37" s="207"/>
      <c r="F37" s="207"/>
      <c r="G37" s="207"/>
      <c r="H37" s="228">
        <f>SUM(H28:I36)</f>
        <v>0</v>
      </c>
      <c r="I37" s="228"/>
    </row>
    <row r="38" spans="1:9" ht="12.75" customHeight="1">
      <c r="A38" s="29"/>
      <c r="B38" s="29"/>
      <c r="C38" s="29"/>
      <c r="D38" s="29"/>
      <c r="E38" s="29"/>
      <c r="F38" s="29"/>
      <c r="G38" s="29"/>
      <c r="H38" s="30"/>
      <c r="I38" s="30"/>
    </row>
    <row r="39" spans="1:9" ht="12.75" customHeight="1">
      <c r="A39" s="207" t="s">
        <v>481</v>
      </c>
      <c r="B39" s="207"/>
      <c r="C39" s="207"/>
      <c r="D39" s="207"/>
      <c r="E39" s="207"/>
      <c r="F39" s="207"/>
      <c r="G39" s="207"/>
      <c r="H39" s="207"/>
      <c r="I39" s="207"/>
    </row>
    <row r="40" spans="1:9" ht="48" customHeight="1">
      <c r="A40" s="27"/>
      <c r="B40" s="33"/>
      <c r="C40" s="33"/>
      <c r="D40" s="207" t="s">
        <v>58</v>
      </c>
      <c r="E40" s="207"/>
      <c r="F40" s="207" t="s">
        <v>59</v>
      </c>
      <c r="G40" s="207"/>
      <c r="H40" s="207" t="s">
        <v>60</v>
      </c>
      <c r="I40" s="207"/>
    </row>
    <row r="41" spans="1:9" ht="39" customHeight="1">
      <c r="A41" s="211" t="s">
        <v>63</v>
      </c>
      <c r="B41" s="211"/>
      <c r="C41" s="211"/>
      <c r="D41" s="208">
        <f>'Materiais de Reposição'!F126</f>
        <v>28826.303052040003</v>
      </c>
      <c r="E41" s="208"/>
      <c r="F41" s="213">
        <v>0</v>
      </c>
      <c r="G41" s="213"/>
      <c r="H41" s="212">
        <f>(D41*(1-F41))</f>
        <v>28826.303052040003</v>
      </c>
      <c r="I41" s="211"/>
    </row>
    <row r="42" spans="1:9">
      <c r="A42" s="6"/>
      <c r="B42" s="6"/>
      <c r="C42" s="6"/>
      <c r="D42" s="6"/>
      <c r="E42" s="6"/>
      <c r="F42" s="6"/>
      <c r="G42" s="6"/>
      <c r="H42" s="6"/>
      <c r="I42" s="6"/>
    </row>
    <row r="43" spans="1:9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207" t="s">
        <v>482</v>
      </c>
      <c r="B44" s="207"/>
      <c r="C44" s="207"/>
      <c r="D44" s="207"/>
      <c r="E44" s="207"/>
      <c r="F44" s="207"/>
      <c r="G44" s="207"/>
      <c r="H44" s="207"/>
      <c r="I44" s="207"/>
    </row>
    <row r="45" spans="1:9" ht="48" customHeight="1">
      <c r="A45" s="214"/>
      <c r="B45" s="215"/>
      <c r="C45" s="216"/>
      <c r="D45" s="207" t="s">
        <v>64</v>
      </c>
      <c r="E45" s="207"/>
      <c r="F45" s="207" t="s">
        <v>59</v>
      </c>
      <c r="G45" s="207"/>
      <c r="H45" s="207" t="s">
        <v>60</v>
      </c>
      <c r="I45" s="207"/>
    </row>
    <row r="46" spans="1:9" ht="39" customHeight="1">
      <c r="A46" s="211" t="s">
        <v>61</v>
      </c>
      <c r="B46" s="211"/>
      <c r="C46" s="211"/>
      <c r="D46" s="208">
        <f>ROUNDDOWN((20835.06*(1+'Cálculo do BDI'!C26)),2)</f>
        <v>25200</v>
      </c>
      <c r="E46" s="208"/>
      <c r="F46" s="209">
        <f>F41</f>
        <v>0</v>
      </c>
      <c r="G46" s="210"/>
      <c r="H46" s="208">
        <f>D46*(1-F46)</f>
        <v>25200</v>
      </c>
      <c r="I46" s="208"/>
    </row>
    <row r="47" spans="1:9">
      <c r="A47" s="6"/>
      <c r="B47" s="6"/>
      <c r="C47" s="6"/>
      <c r="D47" s="6"/>
      <c r="E47" s="6"/>
      <c r="F47" s="6"/>
      <c r="G47" s="6"/>
      <c r="H47" s="6"/>
      <c r="I47" s="6"/>
    </row>
    <row r="48" spans="1:9" ht="15" customHeight="1">
      <c r="A48" s="227" t="s">
        <v>483</v>
      </c>
      <c r="B48" s="227"/>
      <c r="C48" s="227"/>
      <c r="D48" s="227"/>
      <c r="E48" s="227"/>
      <c r="F48" s="227"/>
      <c r="G48" s="227"/>
      <c r="H48" s="226">
        <f>SUM(H21,H25,H37,H41,H46)</f>
        <v>54026.303052040006</v>
      </c>
      <c r="I48" s="227"/>
    </row>
    <row r="49" spans="1:10" ht="15.75">
      <c r="A49" s="13"/>
      <c r="B49" s="15"/>
      <c r="C49" s="14"/>
      <c r="D49" s="14"/>
      <c r="E49" s="14"/>
      <c r="F49" s="14"/>
      <c r="G49" s="16"/>
      <c r="H49" s="16"/>
      <c r="I49" s="17"/>
    </row>
    <row r="50" spans="1:10" ht="14.1" customHeight="1">
      <c r="A50" s="221" t="s">
        <v>62</v>
      </c>
      <c r="B50" s="221"/>
      <c r="C50" s="221"/>
      <c r="D50" s="221"/>
      <c r="E50" s="221"/>
      <c r="F50" s="221"/>
      <c r="G50" s="221"/>
      <c r="H50" s="221"/>
      <c r="I50" s="221"/>
    </row>
    <row r="51" spans="1:10" ht="15.75">
      <c r="A51" s="13"/>
      <c r="B51" s="14"/>
      <c r="C51" s="14"/>
      <c r="D51" s="14"/>
      <c r="E51" s="14"/>
      <c r="F51" s="14"/>
      <c r="G51" s="16"/>
      <c r="H51" s="16"/>
      <c r="I51" s="17"/>
    </row>
    <row r="52" spans="1:10" ht="39.950000000000003" customHeight="1">
      <c r="A52" s="222" t="s">
        <v>10</v>
      </c>
      <c r="B52" s="222"/>
      <c r="C52" s="222"/>
      <c r="D52" s="222"/>
      <c r="E52" s="222"/>
      <c r="F52" s="222"/>
      <c r="G52" s="222"/>
      <c r="H52" s="222"/>
      <c r="I52" s="222"/>
    </row>
    <row r="53" spans="1:10" ht="14.25">
      <c r="A53" s="18"/>
      <c r="B53" s="18"/>
      <c r="C53" s="18"/>
      <c r="D53" s="18"/>
      <c r="E53" s="18"/>
      <c r="F53" s="18"/>
      <c r="G53" s="19"/>
      <c r="H53" s="20"/>
      <c r="I53" s="19"/>
    </row>
    <row r="54" spans="1:10" ht="27.6" customHeight="1">
      <c r="A54" s="221" t="s">
        <v>11</v>
      </c>
      <c r="B54" s="221"/>
      <c r="C54" s="221"/>
      <c r="D54" s="221"/>
      <c r="E54" s="221"/>
      <c r="F54" s="221"/>
      <c r="G54" s="221"/>
      <c r="H54" s="221"/>
      <c r="I54" s="221"/>
    </row>
    <row r="55" spans="1:10" ht="14.25">
      <c r="A55" s="21"/>
      <c r="B55" s="21"/>
      <c r="C55" s="21"/>
      <c r="D55" s="21"/>
      <c r="E55" s="21"/>
      <c r="F55" s="21"/>
      <c r="G55" s="22"/>
      <c r="H55" s="22"/>
      <c r="I55" s="22"/>
    </row>
    <row r="56" spans="1:10" ht="14.1" customHeight="1">
      <c r="A56" s="221" t="s">
        <v>12</v>
      </c>
      <c r="B56" s="221"/>
      <c r="C56" s="221"/>
      <c r="D56" s="221"/>
      <c r="E56" s="221"/>
      <c r="F56" s="221"/>
      <c r="G56" s="221"/>
      <c r="H56" s="221"/>
      <c r="I56" s="221"/>
    </row>
    <row r="57" spans="1:10" ht="14.25">
      <c r="A57" s="21"/>
      <c r="B57" s="21"/>
      <c r="C57" s="21"/>
      <c r="D57" s="21"/>
      <c r="E57" s="21"/>
      <c r="F57" s="21"/>
      <c r="G57" s="22"/>
      <c r="H57" s="22"/>
      <c r="I57" s="22"/>
    </row>
    <row r="58" spans="1:10" ht="14.1" customHeight="1">
      <c r="A58" s="221" t="s">
        <v>13</v>
      </c>
      <c r="B58" s="221"/>
      <c r="C58" s="221"/>
      <c r="D58" s="221"/>
      <c r="E58" s="221"/>
      <c r="F58" s="221"/>
      <c r="G58" s="221"/>
      <c r="H58" s="221"/>
      <c r="I58" s="221"/>
    </row>
    <row r="59" spans="1:10" ht="14.25">
      <c r="A59" s="1"/>
      <c r="B59" s="23"/>
      <c r="C59" s="23"/>
      <c r="D59" s="23"/>
      <c r="E59" s="23"/>
      <c r="F59" s="23"/>
      <c r="G59" s="24"/>
      <c r="H59" s="24"/>
      <c r="I59" s="24"/>
    </row>
    <row r="60" spans="1:10" ht="27.6" customHeight="1">
      <c r="A60" s="222" t="s">
        <v>14</v>
      </c>
      <c r="B60" s="222"/>
      <c r="C60" s="222"/>
      <c r="D60" s="222"/>
      <c r="E60" s="222"/>
      <c r="F60" s="222"/>
      <c r="G60" s="222"/>
      <c r="H60" s="222"/>
      <c r="I60" s="222"/>
    </row>
    <row r="61" spans="1:10" ht="14.25">
      <c r="A61" s="1"/>
      <c r="B61" s="23"/>
      <c r="C61" s="23"/>
      <c r="D61" s="23"/>
      <c r="E61" s="23"/>
      <c r="F61" s="23"/>
      <c r="G61" s="24"/>
      <c r="H61" s="24"/>
      <c r="I61" s="24"/>
    </row>
    <row r="62" spans="1:10" ht="14.1" customHeight="1">
      <c r="A62" s="217" t="s">
        <v>15</v>
      </c>
      <c r="B62" s="217"/>
      <c r="C62" s="217"/>
      <c r="D62" s="217"/>
      <c r="E62" s="217"/>
      <c r="F62" s="217"/>
      <c r="G62" s="217"/>
      <c r="H62" s="217"/>
      <c r="I62" s="217"/>
      <c r="J62" s="25"/>
    </row>
    <row r="63" spans="1:10" ht="14.1" customHeight="1">
      <c r="A63" s="217" t="s">
        <v>16</v>
      </c>
      <c r="B63" s="217"/>
      <c r="C63" s="217"/>
      <c r="D63" s="217"/>
      <c r="E63" s="217"/>
      <c r="F63" s="217"/>
      <c r="G63" s="217"/>
      <c r="H63" s="217"/>
      <c r="I63" s="217"/>
      <c r="J63" s="25"/>
    </row>
    <row r="64" spans="1:10" ht="14.1" customHeight="1">
      <c r="A64" s="217" t="s">
        <v>17</v>
      </c>
      <c r="B64" s="217"/>
      <c r="C64" s="217"/>
      <c r="D64" s="217"/>
      <c r="E64" s="217"/>
      <c r="F64" s="217"/>
      <c r="G64" s="217"/>
      <c r="H64" s="217"/>
      <c r="I64" s="217"/>
      <c r="J64" s="25"/>
    </row>
    <row r="65" spans="1:10" ht="14.1" customHeight="1">
      <c r="A65" s="217" t="s">
        <v>18</v>
      </c>
      <c r="B65" s="217"/>
      <c r="C65" s="217"/>
      <c r="D65" s="217"/>
      <c r="E65" s="217"/>
      <c r="F65" s="217"/>
      <c r="G65" s="217"/>
      <c r="H65" s="217"/>
      <c r="I65" s="217"/>
      <c r="J65" s="25"/>
    </row>
    <row r="66" spans="1:10" ht="14.25">
      <c r="A66" s="26" t="s">
        <v>19</v>
      </c>
      <c r="B66" s="26"/>
      <c r="C66" s="26" t="s">
        <v>20</v>
      </c>
      <c r="D66" s="26"/>
      <c r="E66" s="26"/>
      <c r="F66" s="26"/>
    </row>
  </sheetData>
  <sheetProtection sheet="1" objects="1" scenarios="1"/>
  <protectedRanges>
    <protectedRange sqref="A8 G19:G20 G28:G36 F41" name="dados"/>
    <protectedRange sqref="A8 A50:I67" name="Textos"/>
  </protectedRanges>
  <mergeCells count="76">
    <mergeCell ref="B11:C11"/>
    <mergeCell ref="D11:E11"/>
    <mergeCell ref="B12:C12"/>
    <mergeCell ref="D12:E12"/>
    <mergeCell ref="A14:I14"/>
    <mergeCell ref="A24:D24"/>
    <mergeCell ref="H23:I23"/>
    <mergeCell ref="H24:I24"/>
    <mergeCell ref="A21:G21"/>
    <mergeCell ref="B16:I16"/>
    <mergeCell ref="A2:I2"/>
    <mergeCell ref="A4:I4"/>
    <mergeCell ref="A6:I6"/>
    <mergeCell ref="A8:I8"/>
    <mergeCell ref="B10:E10"/>
    <mergeCell ref="A31:D31"/>
    <mergeCell ref="A37:G37"/>
    <mergeCell ref="H29:I29"/>
    <mergeCell ref="H30:I30"/>
    <mergeCell ref="H48:I48"/>
    <mergeCell ref="A48:G48"/>
    <mergeCell ref="A32:D32"/>
    <mergeCell ref="A33:D33"/>
    <mergeCell ref="A34:D34"/>
    <mergeCell ref="A35:D35"/>
    <mergeCell ref="H32:I32"/>
    <mergeCell ref="H33:I33"/>
    <mergeCell ref="H34:I34"/>
    <mergeCell ref="H35:I35"/>
    <mergeCell ref="H36:I36"/>
    <mergeCell ref="H37:I37"/>
    <mergeCell ref="H27:I27"/>
    <mergeCell ref="H28:I28"/>
    <mergeCell ref="A25:G25"/>
    <mergeCell ref="A29:D29"/>
    <mergeCell ref="A30:D30"/>
    <mergeCell ref="H25:I25"/>
    <mergeCell ref="A27:D27"/>
    <mergeCell ref="A28:D28"/>
    <mergeCell ref="A63:I63"/>
    <mergeCell ref="A64:I64"/>
    <mergeCell ref="A50:I50"/>
    <mergeCell ref="A52:I52"/>
    <mergeCell ref="A44:I44"/>
    <mergeCell ref="A46:C46"/>
    <mergeCell ref="D45:E45"/>
    <mergeCell ref="F45:G45"/>
    <mergeCell ref="H45:I45"/>
    <mergeCell ref="A65:I65"/>
    <mergeCell ref="A18:D18"/>
    <mergeCell ref="A19:D19"/>
    <mergeCell ref="A20:D20"/>
    <mergeCell ref="A23:D23"/>
    <mergeCell ref="H18:I18"/>
    <mergeCell ref="H19:I19"/>
    <mergeCell ref="H20:I20"/>
    <mergeCell ref="H21:I21"/>
    <mergeCell ref="A54:I54"/>
    <mergeCell ref="A56:I56"/>
    <mergeCell ref="A58:I58"/>
    <mergeCell ref="A60:I60"/>
    <mergeCell ref="A62:I62"/>
    <mergeCell ref="H31:I31"/>
    <mergeCell ref="A36:D36"/>
    <mergeCell ref="A39:I39"/>
    <mergeCell ref="D46:E46"/>
    <mergeCell ref="F46:G46"/>
    <mergeCell ref="H46:I46"/>
    <mergeCell ref="A41:C41"/>
    <mergeCell ref="D40:E40"/>
    <mergeCell ref="F40:G40"/>
    <mergeCell ref="H40:I40"/>
    <mergeCell ref="H41:I41"/>
    <mergeCell ref="F41:G41"/>
    <mergeCell ref="D41:E41"/>
    <mergeCell ref="A45:C45"/>
  </mergeCells>
  <printOptions horizontalCentered="1"/>
  <pageMargins left="0.78749999999999998" right="0.78749999999999998" top="1.2972222222222201" bottom="0.94583333333333297" header="0.78749999999999998" footer="0.78749999999999998"/>
  <pageSetup paperSize="9" scale="67" firstPageNumber="0" fitToHeight="2" orientation="portrait" r:id="rId1"/>
  <headerFooter>
    <oddHeader>&amp;RPregão Eletrônico PR/PI nº 1/2022
Anexo II - Modelo de Proposta e Planilha de Custos e Formação do Valor Estimado</oddHeader>
    <oddFooter>&amp;L&amp;A&amp;R&amp;P/&amp;N</oddFooter>
  </headerFooter>
  <rowBreaks count="1" manualBreakCount="1">
    <brk id="43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AEB0D-9851-4AF7-98AA-20579A07B31F}">
  <sheetPr>
    <pageSetUpPr fitToPage="1"/>
  </sheetPr>
  <dimension ref="A1:Z882"/>
  <sheetViews>
    <sheetView showGridLines="0" zoomScaleNormal="100" workbookViewId="0">
      <selection activeCell="F36" sqref="F36"/>
    </sheetView>
  </sheetViews>
  <sheetFormatPr defaultColWidth="14.42578125" defaultRowHeight="14.25"/>
  <cols>
    <col min="1" max="1" width="3" style="34" customWidth="1"/>
    <col min="2" max="2" width="89.140625" style="34" customWidth="1"/>
    <col min="3" max="3" width="20.7109375" style="34" customWidth="1"/>
    <col min="4" max="4" width="21.28515625" style="34" customWidth="1"/>
    <col min="5" max="5" width="18" style="34" customWidth="1"/>
    <col min="6" max="6" width="19.5703125" style="34" customWidth="1"/>
    <col min="7" max="7" width="17.5703125" style="34" customWidth="1"/>
    <col min="8" max="8" width="8.7109375" style="34" customWidth="1"/>
    <col min="9" max="9" width="14.7109375" style="34" customWidth="1"/>
    <col min="10" max="26" width="8.7109375" style="34" customWidth="1"/>
    <col min="27" max="16384" width="14.42578125" style="34"/>
  </cols>
  <sheetData>
    <row r="1" spans="1:26" ht="15">
      <c r="A1" s="257"/>
      <c r="B1" s="257"/>
      <c r="C1" s="257"/>
      <c r="D1" s="257"/>
      <c r="E1" s="36"/>
      <c r="F1" s="36"/>
      <c r="G1" s="37"/>
      <c r="H1" s="37"/>
      <c r="I1" s="36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5">
      <c r="A2" s="257"/>
      <c r="B2" s="257"/>
      <c r="C2" s="257"/>
      <c r="D2" s="257"/>
      <c r="E2" s="36"/>
      <c r="F2" s="36"/>
      <c r="G2" s="37"/>
      <c r="H2" s="37"/>
      <c r="I2" s="36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5">
      <c r="A3" s="257"/>
      <c r="B3" s="257"/>
      <c r="C3" s="257"/>
      <c r="D3" s="257"/>
      <c r="E3" s="36"/>
      <c r="F3" s="36"/>
      <c r="G3" s="37"/>
      <c r="H3" s="37"/>
      <c r="I3" s="36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5">
      <c r="A4" s="257"/>
      <c r="B4" s="257"/>
      <c r="C4" s="257"/>
      <c r="D4" s="257"/>
      <c r="E4" s="36"/>
      <c r="F4" s="36"/>
      <c r="G4" s="37"/>
      <c r="H4" s="37"/>
      <c r="I4" s="36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5">
      <c r="A5" s="257"/>
      <c r="B5" s="257"/>
      <c r="C5" s="257"/>
      <c r="D5" s="257"/>
      <c r="E5" s="36"/>
      <c r="F5" s="36"/>
      <c r="G5" s="37"/>
      <c r="H5" s="37"/>
      <c r="I5" s="36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5.75">
      <c r="A6" s="258" t="s">
        <v>65</v>
      </c>
      <c r="B6" s="258"/>
      <c r="C6" s="258"/>
      <c r="D6" s="258"/>
      <c r="E6" s="36"/>
      <c r="F6" s="36"/>
      <c r="G6" s="37"/>
      <c r="H6" s="37"/>
      <c r="I6" s="35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5.75">
      <c r="A7" s="258" t="s">
        <v>81</v>
      </c>
      <c r="B7" s="258"/>
      <c r="C7" s="258"/>
      <c r="D7" s="258"/>
      <c r="E7" s="36"/>
      <c r="F7" s="36"/>
      <c r="G7" s="37"/>
      <c r="H7" s="37"/>
      <c r="I7" s="35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5.75">
      <c r="A8" s="48"/>
      <c r="B8" s="48"/>
      <c r="C8" s="48"/>
      <c r="D8" s="48"/>
      <c r="E8" s="36"/>
      <c r="F8" s="36"/>
      <c r="G8" s="37"/>
      <c r="H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15.75">
      <c r="A9" s="258" t="s">
        <v>82</v>
      </c>
      <c r="B9" s="258"/>
      <c r="C9" s="258"/>
      <c r="D9" s="258"/>
      <c r="E9" s="36"/>
      <c r="F9" s="36"/>
      <c r="G9" s="37"/>
      <c r="H9" s="37"/>
      <c r="I9" s="35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5">
      <c r="A10" s="203"/>
      <c r="B10" s="203"/>
      <c r="C10" s="203"/>
      <c r="D10" s="203"/>
      <c r="E10" s="36"/>
      <c r="F10" s="36"/>
      <c r="G10" s="37"/>
      <c r="H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5">
      <c r="A11" s="49"/>
      <c r="B11" s="49"/>
      <c r="C11" s="49"/>
      <c r="E11" s="36"/>
      <c r="F11" s="36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8">
      <c r="A12" s="259" t="s">
        <v>260</v>
      </c>
      <c r="B12" s="259"/>
      <c r="C12" s="259"/>
      <c r="D12" s="259"/>
      <c r="E12" s="36"/>
      <c r="F12" s="36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5">
      <c r="A13" s="50"/>
      <c r="B13" s="50"/>
      <c r="C13" s="50"/>
      <c r="D13" s="50"/>
      <c r="E13" s="36"/>
      <c r="F13" s="36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9"/>
      <c r="Z13" s="39"/>
    </row>
    <row r="14" spans="1:26" ht="23.85" customHeight="1">
      <c r="A14" s="256" t="s">
        <v>83</v>
      </c>
      <c r="B14" s="256"/>
      <c r="C14" s="256"/>
      <c r="D14" s="256"/>
      <c r="E14" s="36"/>
      <c r="F14" s="36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37"/>
      <c r="Z14" s="37"/>
    </row>
    <row r="15" spans="1:26" ht="15">
      <c r="A15" s="51"/>
      <c r="B15" s="51"/>
      <c r="C15" s="51"/>
      <c r="D15" s="5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5">
      <c r="A16" s="252" t="s">
        <v>255</v>
      </c>
      <c r="B16" s="252"/>
      <c r="C16" s="252"/>
      <c r="D16" s="252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5">
      <c r="A17" s="49"/>
      <c r="B17" s="49"/>
      <c r="C17" s="49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5">
      <c r="A18" s="253" t="s">
        <v>66</v>
      </c>
      <c r="B18" s="253"/>
      <c r="C18" s="253"/>
      <c r="D18" s="253"/>
      <c r="F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5.75" customHeight="1">
      <c r="A19" s="254" t="s">
        <v>68</v>
      </c>
      <c r="B19" s="254"/>
      <c r="C19" s="255" t="s">
        <v>69</v>
      </c>
      <c r="D19" s="255"/>
      <c r="F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5.75" customHeight="1">
      <c r="A20" s="251" t="s">
        <v>70</v>
      </c>
      <c r="B20" s="251"/>
      <c r="C20" s="239">
        <v>2.8899999999999999E-2</v>
      </c>
      <c r="D20" s="239"/>
      <c r="F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5.75" customHeight="1">
      <c r="A21" s="251" t="s">
        <v>71</v>
      </c>
      <c r="B21" s="251"/>
      <c r="C21" s="239">
        <v>7.4999999999999997E-3</v>
      </c>
      <c r="D21" s="239"/>
      <c r="F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5.75" customHeight="1">
      <c r="A22" s="251" t="s">
        <v>72</v>
      </c>
      <c r="B22" s="251"/>
      <c r="C22" s="239">
        <v>9.1999999999999998E-3</v>
      </c>
      <c r="D22" s="239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5.75" customHeight="1">
      <c r="A23" s="251" t="s">
        <v>73</v>
      </c>
      <c r="B23" s="251"/>
      <c r="C23" s="239">
        <v>5.8999999999999999E-3</v>
      </c>
      <c r="D23" s="239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5.75" customHeight="1">
      <c r="A24" s="251" t="s">
        <v>74</v>
      </c>
      <c r="B24" s="251"/>
      <c r="C24" s="239">
        <v>5.0500000000000003E-2</v>
      </c>
      <c r="D24" s="239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5.75" customHeight="1">
      <c r="A25" s="251" t="s">
        <v>75</v>
      </c>
      <c r="B25" s="251"/>
      <c r="C25" s="239">
        <v>8.6499999999999994E-2</v>
      </c>
      <c r="D25" s="239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42" customHeight="1">
      <c r="A26" s="240" t="s">
        <v>257</v>
      </c>
      <c r="B26" s="240"/>
      <c r="C26" s="245">
        <f>ROUNDDOWN((((1+(C20+C21+C22))*(1+C23)*(1+C24))/(1-C25))-1,4)</f>
        <v>0.20949999999999999</v>
      </c>
      <c r="D26" s="246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5.75" customHeight="1">
      <c r="A27" s="247"/>
      <c r="B27" s="247"/>
      <c r="C27" s="248" t="s">
        <v>67</v>
      </c>
      <c r="D27" s="249" t="s">
        <v>256</v>
      </c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28.5" customHeight="1">
      <c r="A28" s="247"/>
      <c r="B28" s="247"/>
      <c r="C28" s="248"/>
      <c r="D28" s="249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5.75" customHeight="1">
      <c r="A29" s="250"/>
      <c r="B29" s="250"/>
      <c r="C29" s="250"/>
      <c r="D29" s="43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5.75" customHeight="1">
      <c r="A30" s="238" t="s">
        <v>76</v>
      </c>
      <c r="B30" s="238"/>
      <c r="C30" s="42" t="s">
        <v>69</v>
      </c>
      <c r="D30" s="42" t="s">
        <v>69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5.75" customHeight="1">
      <c r="A31" s="238" t="s">
        <v>21</v>
      </c>
      <c r="B31" s="238"/>
      <c r="C31" s="239">
        <v>6.4999999999999997E-3</v>
      </c>
      <c r="D31" s="239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5.75" customHeight="1">
      <c r="A32" s="238" t="s">
        <v>77</v>
      </c>
      <c r="B32" s="238"/>
      <c r="C32" s="239">
        <v>0.03</v>
      </c>
      <c r="D32" s="239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5.75" customHeight="1">
      <c r="A33" s="238" t="s">
        <v>258</v>
      </c>
      <c r="B33" s="238"/>
      <c r="C33" s="44">
        <v>4.4999999999999998E-2</v>
      </c>
      <c r="D33" s="44">
        <v>0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5" customHeight="1">
      <c r="A34" s="238" t="s">
        <v>259</v>
      </c>
      <c r="B34" s="238"/>
      <c r="C34" s="239">
        <v>0.05</v>
      </c>
      <c r="D34" s="239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5.75" customHeight="1">
      <c r="A35" s="240" t="s">
        <v>78</v>
      </c>
      <c r="B35" s="240"/>
      <c r="C35" s="45">
        <f>SUM(C31:C34)</f>
        <v>0.13150000000000001</v>
      </c>
      <c r="D35" s="45">
        <f>SUM(C31,C32,D33,C34)</f>
        <v>8.6499999999999994E-2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5.75" customHeight="1">
      <c r="A36" s="241" t="s">
        <v>79</v>
      </c>
      <c r="B36" s="242"/>
      <c r="C36" s="242"/>
      <c r="D36" s="243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33" customHeight="1">
      <c r="A37" s="244" t="s">
        <v>80</v>
      </c>
      <c r="B37" s="244"/>
      <c r="C37" s="244"/>
      <c r="D37" s="244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28.5" customHeight="1">
      <c r="A38" s="41"/>
      <c r="B38" s="41"/>
      <c r="C38" s="41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5.7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5.75" customHeight="1">
      <c r="A40" s="252" t="s">
        <v>486</v>
      </c>
      <c r="B40" s="252"/>
      <c r="C40" s="252"/>
      <c r="D40" s="252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5.75" customHeight="1">
      <c r="A41" s="49"/>
      <c r="B41" s="49"/>
      <c r="C41" s="49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5.75" customHeight="1">
      <c r="A42" s="253" t="s">
        <v>66</v>
      </c>
      <c r="B42" s="253"/>
      <c r="C42" s="253"/>
      <c r="D42" s="253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5.75" customHeight="1">
      <c r="A43" s="254" t="s">
        <v>68</v>
      </c>
      <c r="B43" s="254"/>
      <c r="C43" s="255" t="s">
        <v>69</v>
      </c>
      <c r="D43" s="255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5.75" customHeight="1">
      <c r="A44" s="251" t="s">
        <v>70</v>
      </c>
      <c r="B44" s="251"/>
      <c r="C44" s="239">
        <v>1.4999999999999999E-2</v>
      </c>
      <c r="D44" s="239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5.75" customHeight="1">
      <c r="A45" s="251" t="s">
        <v>71</v>
      </c>
      <c r="B45" s="251"/>
      <c r="C45" s="239">
        <v>3.0000000000000001E-3</v>
      </c>
      <c r="D45" s="239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5.75" customHeight="1">
      <c r="A46" s="251" t="s">
        <v>72</v>
      </c>
      <c r="B46" s="251"/>
      <c r="C46" s="239">
        <v>5.5999999999999999E-3</v>
      </c>
      <c r="D46" s="239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5.75" customHeight="1">
      <c r="A47" s="251" t="s">
        <v>73</v>
      </c>
      <c r="B47" s="251"/>
      <c r="C47" s="239">
        <v>8.5000000000000006E-3</v>
      </c>
      <c r="D47" s="239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5.75" customHeight="1">
      <c r="A48" s="251" t="s">
        <v>74</v>
      </c>
      <c r="B48" s="251"/>
      <c r="C48" s="239">
        <v>3.5000000000000003E-2</v>
      </c>
      <c r="D48" s="239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5.75" customHeight="1">
      <c r="A49" s="251" t="s">
        <v>75</v>
      </c>
      <c r="B49" s="251"/>
      <c r="C49" s="239">
        <v>3.6499999999999998E-2</v>
      </c>
      <c r="D49" s="239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5.75" customHeight="1">
      <c r="A50" s="240" t="s">
        <v>257</v>
      </c>
      <c r="B50" s="240"/>
      <c r="C50" s="245">
        <f>ROUNDDOWN((((1+(C44+C45+C46))*(1+C47)*(1+C48))/(1-C49))-1,4)</f>
        <v>0.1089</v>
      </c>
      <c r="D50" s="246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5.75" customHeight="1">
      <c r="A51" s="247"/>
      <c r="B51" s="247"/>
      <c r="C51" s="248" t="s">
        <v>67</v>
      </c>
      <c r="D51" s="249" t="s">
        <v>256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5.75" customHeight="1">
      <c r="A52" s="247"/>
      <c r="B52" s="247"/>
      <c r="C52" s="248"/>
      <c r="D52" s="249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5.75" customHeight="1">
      <c r="A53" s="250"/>
      <c r="B53" s="250"/>
      <c r="C53" s="250"/>
      <c r="D53" s="43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5.75" customHeight="1">
      <c r="A54" s="238" t="s">
        <v>76</v>
      </c>
      <c r="B54" s="238"/>
      <c r="C54" s="42" t="s">
        <v>69</v>
      </c>
      <c r="D54" s="42" t="s">
        <v>69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5.75" customHeight="1">
      <c r="A55" s="238" t="s">
        <v>21</v>
      </c>
      <c r="B55" s="238"/>
      <c r="C55" s="239">
        <v>6.4999999999999997E-3</v>
      </c>
      <c r="D55" s="239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5.75" customHeight="1">
      <c r="A56" s="238" t="s">
        <v>77</v>
      </c>
      <c r="B56" s="238"/>
      <c r="C56" s="239">
        <v>0.03</v>
      </c>
      <c r="D56" s="239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5.75" customHeight="1">
      <c r="A57" s="238" t="s">
        <v>258</v>
      </c>
      <c r="B57" s="238"/>
      <c r="C57" s="44">
        <v>4.4999999999999998E-2</v>
      </c>
      <c r="D57" s="44">
        <v>0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5.75" customHeight="1">
      <c r="A58" s="238" t="s">
        <v>259</v>
      </c>
      <c r="B58" s="238"/>
      <c r="C58" s="239">
        <v>0.05</v>
      </c>
      <c r="D58" s="239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5.75" customHeight="1">
      <c r="A59" s="240" t="s">
        <v>78</v>
      </c>
      <c r="B59" s="240"/>
      <c r="C59" s="45">
        <f>SUM(C55:C58)</f>
        <v>0.13150000000000001</v>
      </c>
      <c r="D59" s="45">
        <f>SUM(C55,C56,D57,C58)</f>
        <v>8.6499999999999994E-2</v>
      </c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5.75" customHeight="1">
      <c r="A60" s="241" t="s">
        <v>79</v>
      </c>
      <c r="B60" s="242"/>
      <c r="C60" s="242"/>
      <c r="D60" s="243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5.75" customHeight="1">
      <c r="A61" s="244" t="s">
        <v>80</v>
      </c>
      <c r="B61" s="244"/>
      <c r="C61" s="244"/>
      <c r="D61" s="244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5.7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5.7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5.7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5.7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5.7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5.7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5.7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5.7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5.7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5.7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5.7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5.7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5.7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5.7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5.7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5.7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5.7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5.7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5.7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5.7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5.7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5.7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5.7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5.7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5.7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5.7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5.7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5.7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5.7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5.7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5.7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5.7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5.7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5.7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5.7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5.7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5.7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5.7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5.7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5.7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5.7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5.7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5.7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5.7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5.7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5.7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5.7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5.7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5.7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5.7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5.7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5.7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5.7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5.7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5.7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5.7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5.7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5.7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5.7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5.7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5.7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5.7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5.7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5.7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5.7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5.7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5.7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5.7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5.7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5.7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5.7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5.7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5.7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5.7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5.7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5.7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5.7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5.7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5.7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5.7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5.7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5.7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5.7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5.7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5.7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5.7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5.7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5.7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5.7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5.7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5.7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5.7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5.7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5.7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5.7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5.7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5.7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5.7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5.7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5.7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5.7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5.7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5.7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5.7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5.7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5.7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5.7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5.7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5.7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5.7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5.7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5.7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5.7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5.7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5.7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5.7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5.7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5.7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5.7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5.7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5.7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5.7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5.7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5.7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5.7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5.7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5.7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5.7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5.7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5.7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5.7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5.7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5.7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5.7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5.7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5.7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5.7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5.7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5.7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5.7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5.7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5.7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5.7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5.7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5.7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5.7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5.7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5.7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5.7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5.7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5.7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5.7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5.7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5.7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5.7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5.7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5.7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5.7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5.7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5.7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5.7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5.7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5.7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5.7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5.7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5.7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spans="1:26" ht="15.75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spans="1:26" ht="15.75" customHeight="1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spans="1:26" ht="15.75" customHeight="1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</row>
    <row r="231" spans="1:26" ht="15.75" customHeight="1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</row>
    <row r="232" spans="1:26" ht="15.75" customHeight="1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</row>
    <row r="233" spans="1:26" ht="15.75" customHeight="1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</row>
    <row r="234" spans="1:26" ht="15.75" customHeight="1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spans="1:26" ht="15.75" customHeight="1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spans="1:26" ht="15.75" customHeight="1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</row>
    <row r="237" spans="1:26" ht="15.75" customHeight="1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</row>
    <row r="238" spans="1:26" ht="15.75" customHeight="1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</row>
    <row r="239" spans="1:26" ht="15.75" customHeight="1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</row>
    <row r="240" spans="1:26" ht="15.75" customHeight="1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</row>
    <row r="241" spans="1:26" ht="15.75" customHeight="1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</row>
    <row r="242" spans="1:26" ht="15.75" customHeight="1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</row>
    <row r="243" spans="1:26" ht="15.75" customHeight="1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</row>
    <row r="244" spans="1:26" ht="15.75" customHeight="1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</row>
    <row r="245" spans="1:26" ht="15.75" customHeight="1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</row>
    <row r="246" spans="1:26" ht="15.75" customHeight="1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</row>
    <row r="247" spans="1:26" ht="15.75" customHeight="1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</row>
    <row r="248" spans="1:26" ht="15.75" customHeight="1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</row>
    <row r="249" spans="1:26" ht="15.75" customHeight="1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</row>
    <row r="250" spans="1:26" ht="15.75" customHeight="1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</row>
    <row r="251" spans="1:26" ht="15.75" customHeight="1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</row>
    <row r="252" spans="1:26" ht="15.75" customHeight="1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</row>
    <row r="253" spans="1:26" ht="15.75" customHeight="1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</row>
    <row r="254" spans="1:26" ht="15.75" customHeight="1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</row>
    <row r="255" spans="1:26" ht="15.75" customHeight="1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</row>
    <row r="256" spans="1:26" ht="15.75" customHeight="1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</row>
    <row r="257" spans="1:26" ht="15.75" customHeight="1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</row>
    <row r="258" spans="1:26" ht="15.75" customHeight="1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</row>
    <row r="259" spans="1:26" ht="15.75" customHeight="1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</row>
    <row r="260" spans="1:26" ht="15.75" customHeight="1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</row>
    <row r="261" spans="1:26" ht="15.75" customHeight="1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</row>
    <row r="262" spans="1:26" ht="15.75" customHeight="1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</row>
    <row r="263" spans="1:26" ht="15.75" customHeight="1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</row>
    <row r="264" spans="1:26" ht="15.75" customHeight="1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</row>
    <row r="265" spans="1:26" ht="15.75" customHeight="1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</row>
    <row r="266" spans="1:26" ht="15.75" customHeight="1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</row>
    <row r="267" spans="1:26" ht="15.75" customHeight="1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</row>
    <row r="268" spans="1:26" ht="15.75" customHeight="1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</row>
    <row r="269" spans="1:26" ht="15.75" customHeight="1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</row>
    <row r="270" spans="1:26" ht="15.75" customHeight="1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</row>
    <row r="271" spans="1:26" ht="15.75" customHeight="1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</row>
    <row r="272" spans="1:26" ht="15.75" customHeight="1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</row>
    <row r="273" spans="1:26" ht="15.75" customHeight="1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</row>
    <row r="274" spans="1:26" ht="15.75" customHeight="1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</row>
    <row r="275" spans="1:26" ht="15.75" customHeight="1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</row>
    <row r="276" spans="1:26" ht="15.75" customHeight="1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</row>
    <row r="277" spans="1:26" ht="15.75" customHeight="1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</row>
    <row r="278" spans="1:26" ht="15.75" customHeight="1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</row>
    <row r="279" spans="1:26" ht="15.75" customHeight="1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</row>
    <row r="280" spans="1:26" ht="15.75" customHeight="1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</row>
    <row r="281" spans="1:26" ht="15.75" customHeight="1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</row>
    <row r="282" spans="1:26" ht="15.75" customHeight="1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</row>
    <row r="283" spans="1:26" ht="15.75" customHeight="1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</row>
    <row r="284" spans="1:26" ht="15.75" customHeight="1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</row>
    <row r="285" spans="1:26" ht="15.75" customHeight="1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</row>
    <row r="286" spans="1:26" ht="15.75" customHeight="1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</row>
    <row r="287" spans="1:26" ht="15.75" customHeight="1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</row>
    <row r="288" spans="1:26" ht="15.75" customHeight="1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</row>
    <row r="289" spans="1:26" ht="15.75" customHeight="1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</row>
    <row r="290" spans="1:26" ht="15.75" customHeight="1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</row>
    <row r="291" spans="1:26" ht="15.75" customHeight="1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</row>
    <row r="292" spans="1:26" ht="15.75" customHeight="1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</row>
    <row r="293" spans="1:26" ht="15.75" customHeight="1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</row>
    <row r="294" spans="1:26" ht="15.75" customHeight="1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</row>
    <row r="295" spans="1:26" ht="15.75" customHeight="1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</row>
    <row r="296" spans="1:26" ht="15.75" customHeight="1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</row>
    <row r="297" spans="1:26" ht="15.75" customHeight="1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</row>
    <row r="298" spans="1:26" ht="15.75" customHeight="1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</row>
    <row r="299" spans="1:26" ht="15.75" customHeight="1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</row>
    <row r="300" spans="1:26" ht="15.75" customHeight="1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</row>
    <row r="301" spans="1:26" ht="15.75" customHeight="1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</row>
    <row r="302" spans="1:26" ht="15.75" customHeight="1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</row>
    <row r="303" spans="1:26" ht="15.75" customHeight="1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</row>
    <row r="304" spans="1:26" ht="15.75" customHeight="1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</row>
    <row r="305" spans="1:26" ht="15.75" customHeight="1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</row>
    <row r="306" spans="1:26" ht="15.75" customHeight="1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</row>
    <row r="307" spans="1:26" ht="15.75" customHeight="1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</row>
    <row r="308" spans="1:26" ht="15.75" customHeight="1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</row>
    <row r="309" spans="1:26" ht="15.75" customHeight="1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</row>
    <row r="310" spans="1:26" ht="15.75" customHeight="1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</row>
    <row r="311" spans="1:26" ht="15.75" customHeight="1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</row>
    <row r="312" spans="1:26" ht="15.75" customHeight="1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</row>
    <row r="313" spans="1:26" ht="15.75" customHeight="1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</row>
    <row r="314" spans="1:26" ht="15.75" customHeight="1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</row>
    <row r="315" spans="1:26" ht="15.75" customHeight="1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</row>
    <row r="316" spans="1:26" ht="15.75" customHeight="1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</row>
    <row r="317" spans="1:26" ht="15.75" customHeight="1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</row>
    <row r="318" spans="1:26" ht="15.75" customHeight="1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</row>
    <row r="319" spans="1:26" ht="15.75" customHeight="1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</row>
    <row r="320" spans="1:26" ht="15.75" customHeight="1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</row>
    <row r="321" spans="1:26" ht="15.75" customHeight="1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</row>
    <row r="322" spans="1:26" ht="15.75" customHeight="1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</row>
    <row r="323" spans="1:26" ht="15.75" customHeight="1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</row>
    <row r="324" spans="1:26" ht="15.75" customHeight="1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</row>
    <row r="325" spans="1:26" ht="15.75" customHeight="1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</row>
    <row r="326" spans="1:26" ht="15.75" customHeight="1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</row>
    <row r="327" spans="1:26" ht="15.75" customHeight="1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</row>
    <row r="328" spans="1:26" ht="15.75" customHeight="1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</row>
    <row r="329" spans="1:26" ht="15.75" customHeight="1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</row>
    <row r="330" spans="1:26" ht="15.75" customHeight="1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</row>
    <row r="331" spans="1:26" ht="15.75" customHeight="1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</row>
    <row r="332" spans="1:26" ht="15.75" customHeight="1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</row>
    <row r="333" spans="1:26" ht="15.75" customHeight="1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</row>
    <row r="334" spans="1:26" ht="15.75" customHeight="1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</row>
    <row r="335" spans="1:26" ht="15.75" customHeight="1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</row>
    <row r="336" spans="1:26" ht="15.75" customHeight="1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</row>
    <row r="337" spans="1:26" ht="15.75" customHeight="1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</row>
    <row r="338" spans="1:26" ht="15.75" customHeight="1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</row>
    <row r="339" spans="1:26" ht="15.75" customHeight="1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</row>
    <row r="340" spans="1:26" ht="15.75" customHeight="1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</row>
    <row r="341" spans="1:26" ht="15.75" customHeight="1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</row>
    <row r="342" spans="1:26" ht="15.75" customHeight="1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</row>
    <row r="343" spans="1:26" ht="15.75" customHeight="1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</row>
    <row r="344" spans="1:26" ht="15.75" customHeight="1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</row>
    <row r="345" spans="1:26" ht="15.75" customHeight="1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</row>
    <row r="346" spans="1:26" ht="15.75" customHeight="1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</row>
    <row r="347" spans="1:26" ht="15.75" customHeight="1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</row>
    <row r="348" spans="1:26" ht="15.75" customHeight="1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</row>
    <row r="349" spans="1:26" ht="15.75" customHeight="1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</row>
    <row r="350" spans="1:26" ht="15.75" customHeight="1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</row>
    <row r="351" spans="1:26" ht="15.75" customHeight="1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</row>
    <row r="352" spans="1:26" ht="15.75" customHeight="1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</row>
    <row r="353" spans="1:26" ht="15.75" customHeight="1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</row>
    <row r="354" spans="1:26" ht="15.75" customHeight="1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</row>
    <row r="355" spans="1:26" ht="15.75" customHeight="1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</row>
    <row r="356" spans="1:26" ht="15.75" customHeight="1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</row>
    <row r="357" spans="1:26" ht="15.75" customHeight="1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</row>
    <row r="358" spans="1:26" ht="15.75" customHeight="1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</row>
    <row r="359" spans="1:26" ht="15.75" customHeight="1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</row>
    <row r="360" spans="1:26" ht="15.75" customHeight="1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</row>
    <row r="361" spans="1:26" ht="15.75" customHeight="1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</row>
    <row r="362" spans="1:26" ht="15.75" customHeight="1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</row>
    <row r="363" spans="1:26" ht="15.75" customHeight="1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</row>
    <row r="364" spans="1:26" ht="15.75" customHeight="1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</row>
    <row r="365" spans="1:26" ht="15.75" customHeight="1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</row>
    <row r="366" spans="1:26" ht="15.75" customHeight="1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</row>
    <row r="367" spans="1:26" ht="15.75" customHeight="1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</row>
    <row r="368" spans="1:26" ht="15.75" customHeight="1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</row>
    <row r="369" spans="1:26" ht="15.75" customHeight="1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</row>
    <row r="370" spans="1:26" ht="15.75" customHeight="1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</row>
    <row r="371" spans="1:26" ht="15.75" customHeight="1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</row>
    <row r="372" spans="1:26" ht="15.75" customHeight="1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</row>
    <row r="373" spans="1:26" ht="15.75" customHeight="1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</row>
    <row r="374" spans="1:26" ht="15.75" customHeight="1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</row>
    <row r="375" spans="1:26" ht="15.75" customHeight="1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</row>
    <row r="376" spans="1:26" ht="15.75" customHeight="1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</row>
    <row r="377" spans="1:26" ht="15.75" customHeight="1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</row>
    <row r="378" spans="1:26" ht="15.75" customHeight="1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</row>
    <row r="379" spans="1:26" ht="15.75" customHeight="1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</row>
    <row r="380" spans="1:26" ht="15.75" customHeight="1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</row>
    <row r="381" spans="1:26" ht="15.75" customHeight="1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</row>
    <row r="382" spans="1:26" ht="15.75" customHeight="1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</row>
    <row r="383" spans="1:26" ht="15.75" customHeight="1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</row>
    <row r="384" spans="1:26" ht="15.75" customHeight="1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</row>
    <row r="385" spans="1:26" ht="15.75" customHeight="1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</row>
    <row r="386" spans="1:26" ht="15.75" customHeight="1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</row>
    <row r="387" spans="1:26" ht="15.75" customHeight="1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</row>
    <row r="388" spans="1:26" ht="15.75" customHeight="1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</row>
    <row r="389" spans="1:26" ht="15.75" customHeight="1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</row>
    <row r="390" spans="1:26" ht="15.75" customHeight="1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</row>
    <row r="391" spans="1:26" ht="15.75" customHeight="1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</row>
    <row r="392" spans="1:26" ht="15.75" customHeight="1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</row>
    <row r="393" spans="1:26" ht="15.75" customHeight="1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</row>
    <row r="394" spans="1:26" ht="15.75" customHeight="1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</row>
    <row r="395" spans="1:26" ht="15.75" customHeight="1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</row>
    <row r="396" spans="1:26" ht="15.75" customHeight="1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</row>
    <row r="397" spans="1:26" ht="15.75" customHeight="1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</row>
    <row r="398" spans="1:26" ht="15.75" customHeight="1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</row>
    <row r="399" spans="1:26" ht="15.75" customHeight="1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</row>
    <row r="400" spans="1:26" ht="15.75" customHeight="1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</row>
    <row r="401" spans="1:26" ht="15.75" customHeight="1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</row>
    <row r="402" spans="1:26" ht="15.75" customHeight="1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</row>
    <row r="403" spans="1:26" ht="15.75" customHeight="1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</row>
    <row r="404" spans="1:26" ht="15.75" customHeight="1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</row>
    <row r="405" spans="1:26" ht="15.75" customHeight="1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</row>
    <row r="406" spans="1:26" ht="15.75" customHeight="1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</row>
    <row r="407" spans="1:26" ht="15.75" customHeight="1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</row>
    <row r="408" spans="1:26" ht="15.75" customHeight="1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</row>
    <row r="409" spans="1:26" ht="15.75" customHeight="1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</row>
    <row r="410" spans="1:26" ht="15.75" customHeight="1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</row>
    <row r="411" spans="1:26" ht="15.75" customHeight="1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</row>
    <row r="412" spans="1:26" ht="15.75" customHeight="1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</row>
    <row r="413" spans="1:26" ht="15.75" customHeight="1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</row>
    <row r="414" spans="1:26" ht="15.75" customHeight="1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  <c r="Z414" s="37"/>
    </row>
    <row r="415" spans="1:26" ht="15.75" customHeight="1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  <c r="Z415" s="37"/>
    </row>
    <row r="416" spans="1:26" ht="15.75" customHeight="1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  <c r="Z416" s="37"/>
    </row>
    <row r="417" spans="1:26" ht="15.75" customHeight="1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  <c r="Z417" s="37"/>
    </row>
    <row r="418" spans="1:26" ht="15.75" customHeight="1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</row>
    <row r="419" spans="1:26" ht="15.75" customHeight="1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</row>
    <row r="420" spans="1:26" ht="15.75" customHeight="1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  <c r="Z420" s="37"/>
    </row>
    <row r="421" spans="1:26" ht="15.75" customHeight="1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</row>
    <row r="422" spans="1:26" ht="15.75" customHeight="1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</row>
    <row r="423" spans="1:26" ht="15.75" customHeight="1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</row>
    <row r="424" spans="1:26" ht="15.75" customHeight="1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</row>
    <row r="425" spans="1:26" ht="15.75" customHeight="1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</row>
    <row r="426" spans="1:26" ht="15.75" customHeight="1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</row>
    <row r="427" spans="1:26" ht="15.75" customHeight="1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</row>
    <row r="428" spans="1:26" ht="15.75" customHeight="1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</row>
    <row r="429" spans="1:26" ht="15.75" customHeight="1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</row>
    <row r="430" spans="1:26" ht="15.75" customHeight="1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  <c r="Z430" s="37"/>
    </row>
    <row r="431" spans="1:26" ht="15.75" customHeight="1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</row>
    <row r="432" spans="1:26" ht="15.75" customHeight="1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</row>
    <row r="433" spans="1:26" ht="15.75" customHeight="1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</row>
    <row r="434" spans="1:26" ht="15.75" customHeight="1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  <c r="Z434" s="37"/>
    </row>
    <row r="435" spans="1:26" ht="15.75" customHeight="1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</row>
    <row r="436" spans="1:26" ht="15.75" customHeight="1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</row>
    <row r="437" spans="1:26" ht="15.75" customHeight="1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</row>
    <row r="438" spans="1:26" ht="15.75" customHeight="1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</row>
    <row r="439" spans="1:26" ht="15.75" customHeight="1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</row>
    <row r="440" spans="1:26" ht="15.75" customHeight="1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</row>
    <row r="441" spans="1:26" ht="15.75" customHeight="1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</row>
    <row r="442" spans="1:26" ht="15.75" customHeight="1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</row>
    <row r="443" spans="1:26" ht="15.75" customHeight="1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</row>
    <row r="444" spans="1:26" ht="15.75" customHeight="1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</row>
    <row r="445" spans="1:26" ht="15.75" customHeight="1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</row>
    <row r="446" spans="1:26" ht="15.75" customHeight="1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</row>
    <row r="447" spans="1:26" ht="15.75" customHeight="1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</row>
    <row r="448" spans="1:26" ht="15.75" customHeight="1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</row>
    <row r="449" spans="1:26" ht="15.75" customHeight="1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</row>
    <row r="450" spans="1:26" ht="15.75" customHeight="1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</row>
    <row r="451" spans="1:26" ht="15.75" customHeight="1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</row>
    <row r="452" spans="1:26" ht="15.75" customHeight="1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</row>
    <row r="453" spans="1:26" ht="15.75" customHeight="1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</row>
    <row r="454" spans="1:26" ht="15.75" customHeight="1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</row>
    <row r="455" spans="1:26" ht="15.75" customHeight="1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</row>
    <row r="456" spans="1:26" ht="15.75" customHeight="1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</row>
    <row r="457" spans="1:26" ht="15.75" customHeight="1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</row>
    <row r="458" spans="1:26" ht="15.75" customHeight="1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</row>
    <row r="459" spans="1:26" ht="15.75" customHeight="1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</row>
    <row r="460" spans="1:26" ht="15.75" customHeight="1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</row>
    <row r="461" spans="1:26" ht="15.75" customHeight="1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</row>
    <row r="462" spans="1:26" ht="15.75" customHeight="1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</row>
    <row r="463" spans="1:26" ht="15.75" customHeight="1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</row>
    <row r="464" spans="1:26" ht="15.75" customHeight="1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</row>
    <row r="465" spans="1:26" ht="15.75" customHeight="1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</row>
    <row r="466" spans="1:26" ht="15.75" customHeight="1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  <c r="Z466" s="37"/>
    </row>
    <row r="467" spans="1:26" ht="15.75" customHeight="1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</row>
    <row r="468" spans="1:26" ht="15.75" customHeight="1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  <c r="Z468" s="37"/>
    </row>
    <row r="469" spans="1:26" ht="15.75" customHeight="1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</row>
    <row r="470" spans="1:26" ht="15.75" customHeight="1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  <c r="Z470" s="37"/>
    </row>
    <row r="471" spans="1:26" ht="15.75" customHeight="1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  <c r="Z471" s="37"/>
    </row>
    <row r="472" spans="1:26" ht="15.75" customHeight="1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  <c r="Z472" s="37"/>
    </row>
    <row r="473" spans="1:26" ht="15.75" customHeight="1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</row>
    <row r="474" spans="1:26" ht="15.75" customHeight="1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</row>
    <row r="475" spans="1:26" ht="15.75" customHeight="1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  <c r="Z475" s="37"/>
    </row>
    <row r="476" spans="1:26" ht="15.75" customHeight="1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  <c r="Z476" s="37"/>
    </row>
    <row r="477" spans="1:26" ht="15.75" customHeight="1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  <c r="Z477" s="37"/>
    </row>
    <row r="478" spans="1:26" ht="15.75" customHeight="1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</row>
    <row r="479" spans="1:26" ht="15.75" customHeight="1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</row>
    <row r="480" spans="1:26" ht="15.75" customHeight="1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</row>
    <row r="481" spans="1:26" ht="15.75" customHeight="1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</row>
    <row r="482" spans="1:26" ht="15.75" customHeight="1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  <c r="Z482" s="37"/>
    </row>
    <row r="483" spans="1:26" ht="15.75" customHeight="1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</row>
    <row r="484" spans="1:26" ht="15.75" customHeight="1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  <c r="Z484" s="37"/>
    </row>
    <row r="485" spans="1:26" ht="15.75" customHeight="1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</row>
    <row r="486" spans="1:26" ht="15.75" customHeight="1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</row>
    <row r="487" spans="1:26" ht="15.75" customHeight="1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</row>
    <row r="488" spans="1:26" ht="15.75" customHeight="1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</row>
    <row r="489" spans="1:26" ht="15.75" customHeight="1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  <c r="Z489" s="37"/>
    </row>
    <row r="490" spans="1:26" ht="15.75" customHeight="1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</row>
    <row r="491" spans="1:26" ht="15.75" customHeight="1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  <c r="Z491" s="37"/>
    </row>
    <row r="492" spans="1:26" ht="15.75" customHeight="1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</row>
    <row r="493" spans="1:26" ht="15.75" customHeight="1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</row>
    <row r="494" spans="1:26" ht="15.75" customHeight="1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  <c r="Z494" s="37"/>
    </row>
    <row r="495" spans="1:26" ht="15.75" customHeight="1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</row>
    <row r="496" spans="1:26" ht="15.75" customHeight="1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  <c r="Z496" s="37"/>
    </row>
    <row r="497" spans="1:26" ht="15.75" customHeight="1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</row>
    <row r="498" spans="1:26" ht="15.75" customHeight="1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</row>
    <row r="499" spans="1:26" ht="15.75" customHeight="1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</row>
    <row r="500" spans="1:26" ht="15.75" customHeight="1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</row>
    <row r="501" spans="1:26" ht="15.75" customHeight="1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</row>
    <row r="502" spans="1:26" ht="15.75" customHeight="1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</row>
    <row r="503" spans="1:26" ht="15.75" customHeight="1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</row>
    <row r="504" spans="1:26" ht="15.75" customHeight="1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</row>
    <row r="505" spans="1:26" ht="15.75" customHeight="1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</row>
    <row r="506" spans="1:26" ht="15.75" customHeight="1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</row>
    <row r="507" spans="1:26" ht="15.75" customHeight="1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</row>
    <row r="508" spans="1:26" ht="15.75" customHeight="1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</row>
    <row r="509" spans="1:26" ht="15.75" customHeight="1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</row>
    <row r="510" spans="1:26" ht="15.75" customHeight="1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</row>
    <row r="511" spans="1:26" ht="15.75" customHeight="1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</row>
    <row r="512" spans="1:26" ht="15.75" customHeight="1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</row>
    <row r="513" spans="1:26" ht="15.75" customHeight="1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</row>
    <row r="514" spans="1:26" ht="15.75" customHeight="1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</row>
    <row r="515" spans="1:26" ht="15.75" customHeight="1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</row>
    <row r="516" spans="1:26" ht="15.75" customHeight="1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</row>
    <row r="517" spans="1:26" ht="15.75" customHeight="1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</row>
    <row r="518" spans="1:26" ht="15.75" customHeight="1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</row>
    <row r="519" spans="1:26" ht="15.75" customHeight="1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</row>
    <row r="520" spans="1:26" ht="15.75" customHeight="1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</row>
    <row r="521" spans="1:26" ht="15.75" customHeight="1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</row>
    <row r="522" spans="1:26" ht="15.75" customHeight="1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</row>
    <row r="523" spans="1:26" ht="15.75" customHeight="1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</row>
    <row r="524" spans="1:26" ht="15.75" customHeight="1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</row>
    <row r="525" spans="1:26" ht="15.75" customHeight="1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</row>
    <row r="526" spans="1:26" ht="15.75" customHeight="1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</row>
    <row r="527" spans="1:26" ht="15.75" customHeight="1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</row>
    <row r="528" spans="1:26" ht="15.75" customHeight="1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</row>
    <row r="529" spans="1:26" ht="15.75" customHeight="1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</row>
    <row r="530" spans="1:26" ht="15.75" customHeight="1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</row>
    <row r="531" spans="1:26" ht="15.75" customHeight="1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</row>
    <row r="532" spans="1:26" ht="15.75" customHeight="1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</row>
    <row r="533" spans="1:26" ht="15.75" customHeight="1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</row>
    <row r="534" spans="1:26" ht="15.75" customHeight="1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</row>
    <row r="535" spans="1:26" ht="15.75" customHeight="1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</row>
    <row r="536" spans="1:26" ht="15.75" customHeight="1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</row>
    <row r="537" spans="1:26" ht="15.75" customHeight="1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</row>
    <row r="538" spans="1:26" ht="15.75" customHeight="1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</row>
    <row r="539" spans="1:26" ht="15.75" customHeight="1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</row>
    <row r="540" spans="1:26" ht="15.75" customHeight="1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</row>
    <row r="541" spans="1:26" ht="15.75" customHeight="1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</row>
    <row r="542" spans="1:26" ht="15.75" customHeight="1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</row>
    <row r="543" spans="1:26" ht="15.75" customHeight="1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</row>
    <row r="544" spans="1:26" ht="15.75" customHeight="1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</row>
    <row r="545" spans="1:26" ht="15.75" customHeight="1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</row>
    <row r="546" spans="1:26" ht="15.75" customHeight="1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</row>
    <row r="547" spans="1:26" ht="15.75" customHeight="1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</row>
    <row r="548" spans="1:26" ht="15.75" customHeight="1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</row>
    <row r="549" spans="1:26" ht="15.75" customHeight="1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</row>
    <row r="550" spans="1:26" ht="15.75" customHeight="1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</row>
    <row r="551" spans="1:26" ht="15.75" customHeight="1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</row>
    <row r="552" spans="1:26" ht="15.75" customHeight="1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</row>
    <row r="553" spans="1:26" ht="15.75" customHeight="1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</row>
    <row r="554" spans="1:26" ht="15.75" customHeight="1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</row>
    <row r="555" spans="1:26" ht="15.75" customHeight="1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</row>
    <row r="556" spans="1:26" ht="15.75" customHeight="1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</row>
    <row r="557" spans="1:26" ht="15.75" customHeight="1">
      <c r="A557" s="37"/>
      <c r="B557" s="37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</row>
    <row r="558" spans="1:26" ht="15.75" customHeight="1">
      <c r="A558" s="37"/>
      <c r="B558" s="37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</row>
    <row r="559" spans="1:26" ht="15.75" customHeight="1">
      <c r="A559" s="37"/>
      <c r="B559" s="37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</row>
    <row r="560" spans="1:26" ht="15.75" customHeight="1">
      <c r="A560" s="37"/>
      <c r="B560" s="37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</row>
    <row r="561" spans="1:26" ht="15.75" customHeight="1">
      <c r="A561" s="37"/>
      <c r="B561" s="37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</row>
    <row r="562" spans="1:26" ht="15.75" customHeight="1">
      <c r="A562" s="37"/>
      <c r="B562" s="37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</row>
    <row r="563" spans="1:26" ht="15.75" customHeight="1">
      <c r="A563" s="37"/>
      <c r="B563" s="37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</row>
    <row r="564" spans="1:26" ht="15.75" customHeight="1">
      <c r="A564" s="37"/>
      <c r="B564" s="37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</row>
    <row r="565" spans="1:26" ht="15.75" customHeight="1">
      <c r="A565" s="37"/>
      <c r="B565" s="37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</row>
    <row r="566" spans="1:26" ht="15.75" customHeight="1">
      <c r="A566" s="37"/>
      <c r="B566" s="37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</row>
    <row r="567" spans="1:26" ht="15.75" customHeight="1">
      <c r="A567" s="37"/>
      <c r="B567" s="37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</row>
    <row r="568" spans="1:26" ht="15.75" customHeight="1">
      <c r="A568" s="37"/>
      <c r="B568" s="37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</row>
    <row r="569" spans="1:26" ht="15.75" customHeight="1">
      <c r="A569" s="37"/>
      <c r="B569" s="37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</row>
    <row r="570" spans="1:26" ht="15.75" customHeight="1">
      <c r="A570" s="37"/>
      <c r="B570" s="37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</row>
    <row r="571" spans="1:26" ht="15.75" customHeight="1">
      <c r="A571" s="37"/>
      <c r="B571" s="37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</row>
    <row r="572" spans="1:26" ht="15.75" customHeight="1">
      <c r="A572" s="37"/>
      <c r="B572" s="37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</row>
    <row r="573" spans="1:26" ht="15.75" customHeight="1">
      <c r="A573" s="37"/>
      <c r="B573" s="37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</row>
    <row r="574" spans="1:26" ht="15.75" customHeight="1">
      <c r="A574" s="37"/>
      <c r="B574" s="37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</row>
    <row r="575" spans="1:26" ht="15.75" customHeight="1">
      <c r="A575" s="37"/>
      <c r="B575" s="37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</row>
    <row r="576" spans="1:26" ht="15.75" customHeight="1">
      <c r="A576" s="37"/>
      <c r="B576" s="37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</row>
    <row r="577" spans="1:26" ht="15.75" customHeight="1">
      <c r="A577" s="37"/>
      <c r="B577" s="37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</row>
    <row r="578" spans="1:26" ht="15.75" customHeight="1">
      <c r="A578" s="37"/>
      <c r="B578" s="37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</row>
    <row r="579" spans="1:26" ht="15.75" customHeight="1">
      <c r="A579" s="37"/>
      <c r="B579" s="37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</row>
    <row r="580" spans="1:26" ht="15.75" customHeight="1">
      <c r="A580" s="37"/>
      <c r="B580" s="37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</row>
    <row r="581" spans="1:26" ht="15.75" customHeight="1">
      <c r="A581" s="37"/>
      <c r="B581" s="37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</row>
    <row r="582" spans="1:26" ht="15.75" customHeight="1">
      <c r="A582" s="37"/>
      <c r="B582" s="37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</row>
    <row r="583" spans="1:26" ht="15.75" customHeight="1">
      <c r="A583" s="37"/>
      <c r="B583" s="37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</row>
    <row r="584" spans="1:26" ht="15.75" customHeight="1">
      <c r="A584" s="37"/>
      <c r="B584" s="37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</row>
    <row r="585" spans="1:26" ht="15.75" customHeight="1">
      <c r="A585" s="37"/>
      <c r="B585" s="37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</row>
    <row r="586" spans="1:26" ht="15.75" customHeight="1">
      <c r="A586" s="37"/>
      <c r="B586" s="37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</row>
    <row r="587" spans="1:26" ht="15.75" customHeight="1">
      <c r="A587" s="37"/>
      <c r="B587" s="37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</row>
    <row r="588" spans="1:26" ht="15.75" customHeight="1">
      <c r="A588" s="37"/>
      <c r="B588" s="37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</row>
    <row r="589" spans="1:26" ht="15.75" customHeight="1">
      <c r="A589" s="37"/>
      <c r="B589" s="37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</row>
    <row r="590" spans="1:26" ht="15.75" customHeight="1">
      <c r="A590" s="37"/>
      <c r="B590" s="37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</row>
    <row r="591" spans="1:26" ht="15.75" customHeight="1">
      <c r="A591" s="37"/>
      <c r="B591" s="37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</row>
    <row r="592" spans="1:26" ht="15.75" customHeight="1">
      <c r="A592" s="37"/>
      <c r="B592" s="37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</row>
    <row r="593" spans="1:26" ht="15.75" customHeight="1">
      <c r="A593" s="37"/>
      <c r="B593" s="37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</row>
    <row r="594" spans="1:26" ht="15.75" customHeight="1">
      <c r="A594" s="37"/>
      <c r="B594" s="37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</row>
    <row r="595" spans="1:26" ht="15.75" customHeight="1">
      <c r="A595" s="37"/>
      <c r="B595" s="37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</row>
    <row r="596" spans="1:26" ht="15.75" customHeight="1">
      <c r="A596" s="37"/>
      <c r="B596" s="37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</row>
    <row r="597" spans="1:26" ht="15.75" customHeight="1">
      <c r="A597" s="37"/>
      <c r="B597" s="37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</row>
    <row r="598" spans="1:26" ht="15.75" customHeight="1">
      <c r="A598" s="37"/>
      <c r="B598" s="37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</row>
    <row r="599" spans="1:26" ht="15.75" customHeight="1">
      <c r="A599" s="37"/>
      <c r="B599" s="37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</row>
    <row r="600" spans="1:26" ht="15.75" customHeight="1">
      <c r="A600" s="37"/>
      <c r="B600" s="37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</row>
    <row r="601" spans="1:26" ht="15.75" customHeight="1">
      <c r="A601" s="37"/>
      <c r="B601" s="37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</row>
    <row r="602" spans="1:26" ht="15.75" customHeight="1">
      <c r="A602" s="37"/>
      <c r="B602" s="37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</row>
    <row r="603" spans="1:26" ht="15.75" customHeight="1">
      <c r="A603" s="37"/>
      <c r="B603" s="37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</row>
    <row r="604" spans="1:26" ht="15.75" customHeight="1">
      <c r="A604" s="37"/>
      <c r="B604" s="37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</row>
    <row r="605" spans="1:26" ht="15.75" customHeight="1">
      <c r="A605" s="37"/>
      <c r="B605" s="37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</row>
    <row r="606" spans="1:26" ht="15.75" customHeight="1">
      <c r="A606" s="37"/>
      <c r="B606" s="37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</row>
    <row r="607" spans="1:26" ht="15.75" customHeight="1">
      <c r="A607" s="37"/>
      <c r="B607" s="37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</row>
    <row r="608" spans="1:26" ht="15.75" customHeight="1">
      <c r="A608" s="37"/>
      <c r="B608" s="37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</row>
    <row r="609" spans="1:26" ht="15.75" customHeight="1">
      <c r="A609" s="37"/>
      <c r="B609" s="37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</row>
    <row r="610" spans="1:26" ht="15.75" customHeight="1">
      <c r="A610" s="37"/>
      <c r="B610" s="37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</row>
    <row r="611" spans="1:26" ht="15.75" customHeight="1">
      <c r="A611" s="37"/>
      <c r="B611" s="37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</row>
    <row r="612" spans="1:26" ht="15.75" customHeight="1">
      <c r="A612" s="37"/>
      <c r="B612" s="37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</row>
    <row r="613" spans="1:26" ht="15.75" customHeight="1">
      <c r="A613" s="37"/>
      <c r="B613" s="37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</row>
    <row r="614" spans="1:26" ht="15.75" customHeight="1">
      <c r="A614" s="37"/>
      <c r="B614" s="37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</row>
    <row r="615" spans="1:26" ht="15.75" customHeight="1">
      <c r="A615" s="37"/>
      <c r="B615" s="37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</row>
    <row r="616" spans="1:26" ht="15.75" customHeight="1">
      <c r="A616" s="37"/>
      <c r="B616" s="37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</row>
    <row r="617" spans="1:26" ht="15.75" customHeight="1">
      <c r="A617" s="37"/>
      <c r="B617" s="37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</row>
    <row r="618" spans="1:26" ht="15.75" customHeight="1">
      <c r="A618" s="37"/>
      <c r="B618" s="37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</row>
    <row r="619" spans="1:26" ht="15.75" customHeight="1">
      <c r="A619" s="37"/>
      <c r="B619" s="37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</row>
    <row r="620" spans="1:26" ht="15.75" customHeight="1">
      <c r="A620" s="37"/>
      <c r="B620" s="37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</row>
    <row r="621" spans="1:26" ht="15.75" customHeight="1">
      <c r="A621" s="37"/>
      <c r="B621" s="37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</row>
    <row r="622" spans="1:26" ht="15.75" customHeight="1">
      <c r="A622" s="37"/>
      <c r="B622" s="37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</row>
    <row r="623" spans="1:26" ht="15.75" customHeight="1">
      <c r="A623" s="37"/>
      <c r="B623" s="37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</row>
    <row r="624" spans="1:26" ht="15.75" customHeight="1">
      <c r="A624" s="37"/>
      <c r="B624" s="37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</row>
    <row r="625" spans="1:26" ht="15.75" customHeight="1">
      <c r="A625" s="37"/>
      <c r="B625" s="37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</row>
    <row r="626" spans="1:26" ht="15.75" customHeight="1">
      <c r="A626" s="37"/>
      <c r="B626" s="37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</row>
    <row r="627" spans="1:26" ht="15.75" customHeight="1">
      <c r="A627" s="37"/>
      <c r="B627" s="37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</row>
    <row r="628" spans="1:26" ht="15.75" customHeight="1">
      <c r="A628" s="37"/>
      <c r="B628" s="37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</row>
    <row r="629" spans="1:26" ht="15.75" customHeight="1">
      <c r="A629" s="37"/>
      <c r="B629" s="37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</row>
    <row r="630" spans="1:26" ht="15.75" customHeight="1">
      <c r="A630" s="37"/>
      <c r="B630" s="37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</row>
    <row r="631" spans="1:26" ht="15.75" customHeight="1">
      <c r="A631" s="37"/>
      <c r="B631" s="37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</row>
    <row r="632" spans="1:26" ht="15.75" customHeight="1">
      <c r="A632" s="37"/>
      <c r="B632" s="37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</row>
    <row r="633" spans="1:26" ht="15.75" customHeight="1">
      <c r="A633" s="37"/>
      <c r="B633" s="37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</row>
    <row r="634" spans="1:26" ht="15.75" customHeight="1">
      <c r="A634" s="37"/>
      <c r="B634" s="37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</row>
    <row r="635" spans="1:26" ht="15.75" customHeight="1">
      <c r="A635" s="37"/>
      <c r="B635" s="37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</row>
    <row r="636" spans="1:26" ht="15.75" customHeight="1">
      <c r="A636" s="37"/>
      <c r="B636" s="37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</row>
    <row r="637" spans="1:26" ht="15.75" customHeight="1">
      <c r="A637" s="37"/>
      <c r="B637" s="37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</row>
    <row r="638" spans="1:26" ht="15.75" customHeight="1">
      <c r="A638" s="37"/>
      <c r="B638" s="37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</row>
    <row r="639" spans="1:26" ht="15.75" customHeight="1">
      <c r="A639" s="37"/>
      <c r="B639" s="37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</row>
    <row r="640" spans="1:26" ht="15.75" customHeight="1">
      <c r="A640" s="37"/>
      <c r="B640" s="37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</row>
    <row r="641" spans="1:26" ht="15.75" customHeight="1">
      <c r="A641" s="37"/>
      <c r="B641" s="37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</row>
    <row r="642" spans="1:26" ht="15.75" customHeight="1">
      <c r="A642" s="37"/>
      <c r="B642" s="37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</row>
    <row r="643" spans="1:26" ht="15.75" customHeight="1">
      <c r="A643" s="37"/>
      <c r="B643" s="37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</row>
    <row r="644" spans="1:26" ht="15.75" customHeight="1">
      <c r="A644" s="37"/>
      <c r="B644" s="37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</row>
    <row r="645" spans="1:26" ht="15.75" customHeight="1">
      <c r="A645" s="37"/>
      <c r="B645" s="37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</row>
    <row r="646" spans="1:26" ht="15.75" customHeight="1">
      <c r="A646" s="37"/>
      <c r="B646" s="37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</row>
    <row r="647" spans="1:26" ht="15.75" customHeight="1">
      <c r="A647" s="37"/>
      <c r="B647" s="37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</row>
    <row r="648" spans="1:26" ht="15.75" customHeight="1">
      <c r="A648" s="37"/>
      <c r="B648" s="37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</row>
    <row r="649" spans="1:26" ht="15.75" customHeight="1">
      <c r="A649" s="37"/>
      <c r="B649" s="37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</row>
    <row r="650" spans="1:26" ht="15.75" customHeight="1">
      <c r="A650" s="37"/>
      <c r="B650" s="37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</row>
    <row r="651" spans="1:26" ht="15.75" customHeight="1">
      <c r="A651" s="37"/>
      <c r="B651" s="37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</row>
    <row r="652" spans="1:26" ht="15.75" customHeight="1">
      <c r="A652" s="37"/>
      <c r="B652" s="37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  <c r="Z652" s="37"/>
    </row>
    <row r="653" spans="1:26" ht="15.75" customHeight="1">
      <c r="A653" s="37"/>
      <c r="B653" s="37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</row>
    <row r="654" spans="1:26" ht="15.75" customHeight="1">
      <c r="A654" s="37"/>
      <c r="B654" s="37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</row>
    <row r="655" spans="1:26" ht="15.75" customHeight="1">
      <c r="A655" s="37"/>
      <c r="B655" s="37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</row>
    <row r="656" spans="1:26" ht="15.75" customHeight="1">
      <c r="A656" s="37"/>
      <c r="B656" s="37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</row>
    <row r="657" spans="1:26" ht="15.75" customHeight="1">
      <c r="A657" s="37"/>
      <c r="B657" s="37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</row>
    <row r="658" spans="1:26" ht="15.75" customHeight="1">
      <c r="A658" s="37"/>
      <c r="B658" s="37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</row>
    <row r="659" spans="1:26" ht="15.75" customHeight="1">
      <c r="A659" s="37"/>
      <c r="B659" s="37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</row>
    <row r="660" spans="1:26" ht="15.75" customHeight="1">
      <c r="A660" s="37"/>
      <c r="B660" s="37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</row>
    <row r="661" spans="1:26" ht="15.75" customHeight="1">
      <c r="A661" s="37"/>
      <c r="B661" s="37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</row>
    <row r="662" spans="1:26" ht="15.75" customHeight="1">
      <c r="A662" s="37"/>
      <c r="B662" s="37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</row>
    <row r="663" spans="1:26" ht="15.75" customHeight="1">
      <c r="A663" s="37"/>
      <c r="B663" s="37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</row>
    <row r="664" spans="1:26" ht="15.75" customHeight="1">
      <c r="A664" s="37"/>
      <c r="B664" s="37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</row>
    <row r="665" spans="1:26" ht="15.75" customHeight="1">
      <c r="A665" s="37"/>
      <c r="B665" s="37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</row>
    <row r="666" spans="1:26" ht="15.75" customHeight="1">
      <c r="A666" s="37"/>
      <c r="B666" s="37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</row>
    <row r="667" spans="1:26" ht="15.75" customHeight="1">
      <c r="A667" s="37"/>
      <c r="B667" s="37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</row>
    <row r="668" spans="1:26" ht="15.75" customHeight="1">
      <c r="A668" s="37"/>
      <c r="B668" s="37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</row>
    <row r="669" spans="1:26" ht="15.75" customHeight="1">
      <c r="A669" s="37"/>
      <c r="B669" s="37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</row>
    <row r="670" spans="1:26" ht="15.75" customHeight="1">
      <c r="A670" s="37"/>
      <c r="B670" s="37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</row>
    <row r="671" spans="1:26" ht="15.75" customHeight="1">
      <c r="A671" s="37"/>
      <c r="B671" s="37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</row>
    <row r="672" spans="1:26" ht="15.75" customHeight="1">
      <c r="A672" s="37"/>
      <c r="B672" s="37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</row>
    <row r="673" spans="1:26" ht="15.75" customHeight="1">
      <c r="A673" s="37"/>
      <c r="B673" s="37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</row>
    <row r="674" spans="1:26" ht="15.75" customHeight="1">
      <c r="A674" s="37"/>
      <c r="B674" s="37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</row>
    <row r="675" spans="1:26" ht="15.75" customHeight="1">
      <c r="A675" s="37"/>
      <c r="B675" s="37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</row>
    <row r="676" spans="1:26" ht="15.75" customHeight="1">
      <c r="A676" s="37"/>
      <c r="B676" s="37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</row>
    <row r="677" spans="1:26" ht="15.75" customHeight="1">
      <c r="A677" s="37"/>
      <c r="B677" s="37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</row>
    <row r="678" spans="1:26" ht="15.75" customHeight="1">
      <c r="A678" s="37"/>
      <c r="B678" s="37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</row>
    <row r="679" spans="1:26" ht="15.75" customHeight="1">
      <c r="A679" s="37"/>
      <c r="B679" s="37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</row>
    <row r="680" spans="1:26" ht="15.75" customHeight="1">
      <c r="A680" s="37"/>
      <c r="B680" s="37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</row>
    <row r="681" spans="1:26" ht="15.75" customHeight="1">
      <c r="A681" s="37"/>
      <c r="B681" s="37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</row>
    <row r="682" spans="1:26" ht="15.75" customHeight="1">
      <c r="A682" s="37"/>
      <c r="B682" s="37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</row>
    <row r="683" spans="1:26" ht="15.75" customHeight="1">
      <c r="A683" s="37"/>
      <c r="B683" s="37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</row>
    <row r="684" spans="1:26" ht="15.75" customHeight="1">
      <c r="A684" s="37"/>
      <c r="B684" s="37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</row>
    <row r="685" spans="1:26" ht="15.75" customHeight="1">
      <c r="A685" s="37"/>
      <c r="B685" s="37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</row>
    <row r="686" spans="1:26" ht="15.75" customHeight="1">
      <c r="A686" s="37"/>
      <c r="B686" s="37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</row>
    <row r="687" spans="1:26" ht="15.75" customHeight="1">
      <c r="A687" s="37"/>
      <c r="B687" s="37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</row>
    <row r="688" spans="1:26" ht="15.75" customHeight="1">
      <c r="A688" s="37"/>
      <c r="B688" s="37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</row>
    <row r="689" spans="1:26" ht="15.75" customHeight="1">
      <c r="A689" s="37"/>
      <c r="B689" s="37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</row>
    <row r="690" spans="1:26" ht="15.75" customHeight="1">
      <c r="A690" s="37"/>
      <c r="B690" s="37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</row>
    <row r="691" spans="1:26" ht="15.75" customHeight="1">
      <c r="A691" s="37"/>
      <c r="B691" s="37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</row>
    <row r="692" spans="1:26" ht="15.75" customHeight="1">
      <c r="A692" s="37"/>
      <c r="B692" s="37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</row>
    <row r="693" spans="1:26" ht="15.75" customHeight="1">
      <c r="A693" s="37"/>
      <c r="B693" s="37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</row>
    <row r="694" spans="1:26" ht="15.75" customHeight="1">
      <c r="A694" s="37"/>
      <c r="B694" s="37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</row>
    <row r="695" spans="1:26" ht="15.75" customHeight="1">
      <c r="A695" s="37"/>
      <c r="B695" s="37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</row>
    <row r="696" spans="1:26" ht="15.75" customHeight="1">
      <c r="A696" s="37"/>
      <c r="B696" s="37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</row>
    <row r="697" spans="1:26" ht="15.75" customHeight="1">
      <c r="A697" s="37"/>
      <c r="B697" s="37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</row>
    <row r="698" spans="1:26" ht="15.75" customHeight="1">
      <c r="A698" s="37"/>
      <c r="B698" s="37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</row>
    <row r="699" spans="1:26" ht="15.75" customHeight="1">
      <c r="A699" s="37"/>
      <c r="B699" s="37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</row>
    <row r="700" spans="1:26" ht="15.75" customHeight="1">
      <c r="A700" s="37"/>
      <c r="B700" s="37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  <c r="Z700" s="37"/>
    </row>
    <row r="701" spans="1:26" ht="15.75" customHeight="1">
      <c r="A701" s="37"/>
      <c r="B701" s="37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  <c r="Z701" s="37"/>
    </row>
    <row r="702" spans="1:26" ht="15.75" customHeight="1">
      <c r="A702" s="37"/>
      <c r="B702" s="37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  <c r="Z702" s="37"/>
    </row>
    <row r="703" spans="1:26" ht="15.75" customHeight="1">
      <c r="A703" s="37"/>
      <c r="B703" s="37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  <c r="Z703" s="37"/>
    </row>
    <row r="704" spans="1:26" ht="15.75" customHeight="1">
      <c r="A704" s="37"/>
      <c r="B704" s="37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  <c r="Z704" s="37"/>
    </row>
    <row r="705" spans="1:26" ht="15.75" customHeight="1">
      <c r="A705" s="37"/>
      <c r="B705" s="37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  <c r="Z705" s="37"/>
    </row>
    <row r="706" spans="1:26" ht="15.75" customHeight="1">
      <c r="A706" s="37"/>
      <c r="B706" s="37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  <c r="Z706" s="37"/>
    </row>
    <row r="707" spans="1:26" ht="15.75" customHeight="1">
      <c r="A707" s="37"/>
      <c r="B707" s="37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  <c r="Z707" s="37"/>
    </row>
    <row r="708" spans="1:26" ht="15.75" customHeight="1">
      <c r="A708" s="37"/>
      <c r="B708" s="37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  <c r="Z708" s="37"/>
    </row>
    <row r="709" spans="1:26" ht="15.75" customHeight="1">
      <c r="A709" s="37"/>
      <c r="B709" s="37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  <c r="Z709" s="37"/>
    </row>
    <row r="710" spans="1:26" ht="15.75" customHeight="1">
      <c r="A710" s="37"/>
      <c r="B710" s="37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  <c r="Z710" s="37"/>
    </row>
    <row r="711" spans="1:26" ht="15.75" customHeight="1">
      <c r="A711" s="37"/>
      <c r="B711" s="37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  <c r="Z711" s="37"/>
    </row>
    <row r="712" spans="1:26" ht="15.75" customHeight="1">
      <c r="A712" s="37"/>
      <c r="B712" s="37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  <c r="Z712" s="37"/>
    </row>
    <row r="713" spans="1:26" ht="15.75" customHeight="1">
      <c r="A713" s="37"/>
      <c r="B713" s="37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  <c r="Z713" s="37"/>
    </row>
    <row r="714" spans="1:26" ht="15.75" customHeight="1">
      <c r="A714" s="37"/>
      <c r="B714" s="37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  <c r="Z714" s="37"/>
    </row>
    <row r="715" spans="1:26" ht="15.75" customHeight="1">
      <c r="A715" s="37"/>
      <c r="B715" s="37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  <c r="Z715" s="37"/>
    </row>
    <row r="716" spans="1:26" ht="15.75" customHeight="1">
      <c r="A716" s="37"/>
      <c r="B716" s="37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  <c r="Z716" s="37"/>
    </row>
    <row r="717" spans="1:26" ht="15.75" customHeight="1">
      <c r="A717" s="37"/>
      <c r="B717" s="37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  <c r="Z717" s="37"/>
    </row>
    <row r="718" spans="1:26" ht="15.75" customHeight="1">
      <c r="A718" s="37"/>
      <c r="B718" s="37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  <c r="Z718" s="37"/>
    </row>
    <row r="719" spans="1:26" ht="15.75" customHeight="1">
      <c r="A719" s="37"/>
      <c r="B719" s="37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  <c r="Z719" s="37"/>
    </row>
    <row r="720" spans="1:26" ht="15.75" customHeight="1">
      <c r="A720" s="37"/>
      <c r="B720" s="37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  <c r="Z720" s="37"/>
    </row>
    <row r="721" spans="1:26" ht="15.75" customHeight="1">
      <c r="A721" s="37"/>
      <c r="B721" s="37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  <c r="Z721" s="37"/>
    </row>
    <row r="722" spans="1:26" ht="15.75" customHeight="1">
      <c r="A722" s="37"/>
      <c r="B722" s="37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  <c r="Z722" s="37"/>
    </row>
    <row r="723" spans="1:26" ht="15.75" customHeight="1">
      <c r="A723" s="37"/>
      <c r="B723" s="37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  <c r="Z723" s="37"/>
    </row>
    <row r="724" spans="1:26" ht="15.75" customHeight="1">
      <c r="A724" s="37"/>
      <c r="B724" s="37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</row>
    <row r="725" spans="1:26" ht="15.75" customHeight="1">
      <c r="A725" s="37"/>
      <c r="B725" s="37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  <c r="Z725" s="37"/>
    </row>
    <row r="726" spans="1:26" ht="15.75" customHeight="1">
      <c r="A726" s="37"/>
      <c r="B726" s="37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  <c r="Z726" s="37"/>
    </row>
    <row r="727" spans="1:26" ht="15.75" customHeight="1">
      <c r="A727" s="37"/>
      <c r="B727" s="37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  <c r="Z727" s="37"/>
    </row>
    <row r="728" spans="1:26" ht="15.75" customHeight="1">
      <c r="A728" s="37"/>
      <c r="B728" s="37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  <c r="Z728" s="37"/>
    </row>
    <row r="729" spans="1:26" ht="15.75" customHeight="1">
      <c r="A729" s="37"/>
      <c r="B729" s="37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  <c r="T729" s="37"/>
      <c r="U729" s="37"/>
      <c r="V729" s="37"/>
      <c r="W729" s="37"/>
      <c r="X729" s="37"/>
      <c r="Y729" s="37"/>
      <c r="Z729" s="37"/>
    </row>
    <row r="730" spans="1:26" ht="15.75" customHeight="1">
      <c r="A730" s="37"/>
      <c r="B730" s="37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  <c r="T730" s="37"/>
      <c r="U730" s="37"/>
      <c r="V730" s="37"/>
      <c r="W730" s="37"/>
      <c r="X730" s="37"/>
      <c r="Y730" s="37"/>
      <c r="Z730" s="37"/>
    </row>
    <row r="731" spans="1:26" ht="15.75" customHeight="1">
      <c r="A731" s="37"/>
      <c r="B731" s="37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  <c r="T731" s="37"/>
      <c r="U731" s="37"/>
      <c r="V731" s="37"/>
      <c r="W731" s="37"/>
      <c r="X731" s="37"/>
      <c r="Y731" s="37"/>
      <c r="Z731" s="37"/>
    </row>
    <row r="732" spans="1:26" ht="15.75" customHeight="1">
      <c r="A732" s="37"/>
      <c r="B732" s="37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  <c r="T732" s="37"/>
      <c r="U732" s="37"/>
      <c r="V732" s="37"/>
      <c r="W732" s="37"/>
      <c r="X732" s="37"/>
      <c r="Y732" s="37"/>
      <c r="Z732" s="37"/>
    </row>
    <row r="733" spans="1:26" ht="15.75" customHeight="1">
      <c r="A733" s="37"/>
      <c r="B733" s="37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  <c r="T733" s="37"/>
      <c r="U733" s="37"/>
      <c r="V733" s="37"/>
      <c r="W733" s="37"/>
      <c r="X733" s="37"/>
      <c r="Y733" s="37"/>
      <c r="Z733" s="37"/>
    </row>
    <row r="734" spans="1:26" ht="15.75" customHeight="1">
      <c r="A734" s="37"/>
      <c r="B734" s="37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  <c r="T734" s="37"/>
      <c r="U734" s="37"/>
      <c r="V734" s="37"/>
      <c r="W734" s="37"/>
      <c r="X734" s="37"/>
      <c r="Y734" s="37"/>
      <c r="Z734" s="37"/>
    </row>
    <row r="735" spans="1:26" ht="15.75" customHeight="1">
      <c r="A735" s="37"/>
      <c r="B735" s="37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  <c r="T735" s="37"/>
      <c r="U735" s="37"/>
      <c r="V735" s="37"/>
      <c r="W735" s="37"/>
      <c r="X735" s="37"/>
      <c r="Y735" s="37"/>
      <c r="Z735" s="37"/>
    </row>
    <row r="736" spans="1:26" ht="15.75" customHeight="1">
      <c r="A736" s="37"/>
      <c r="B736" s="37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  <c r="T736" s="37"/>
      <c r="U736" s="37"/>
      <c r="V736" s="37"/>
      <c r="W736" s="37"/>
      <c r="X736" s="37"/>
      <c r="Y736" s="37"/>
      <c r="Z736" s="37"/>
    </row>
    <row r="737" spans="1:26" ht="15.75" customHeight="1">
      <c r="A737" s="37"/>
      <c r="B737" s="37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  <c r="T737" s="37"/>
      <c r="U737" s="37"/>
      <c r="V737" s="37"/>
      <c r="W737" s="37"/>
      <c r="X737" s="37"/>
      <c r="Y737" s="37"/>
      <c r="Z737" s="37"/>
    </row>
    <row r="738" spans="1:26" ht="15.75" customHeight="1">
      <c r="A738" s="37"/>
      <c r="B738" s="37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  <c r="T738" s="37"/>
      <c r="U738" s="37"/>
      <c r="V738" s="37"/>
      <c r="W738" s="37"/>
      <c r="X738" s="37"/>
      <c r="Y738" s="37"/>
      <c r="Z738" s="37"/>
    </row>
    <row r="739" spans="1:26" ht="15.75" customHeight="1">
      <c r="A739" s="37"/>
      <c r="B739" s="37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  <c r="T739" s="37"/>
      <c r="U739" s="37"/>
      <c r="V739" s="37"/>
      <c r="W739" s="37"/>
      <c r="X739" s="37"/>
      <c r="Y739" s="37"/>
      <c r="Z739" s="37"/>
    </row>
    <row r="740" spans="1:26" ht="15.75" customHeight="1">
      <c r="A740" s="37"/>
      <c r="B740" s="37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  <c r="Z740" s="37"/>
    </row>
    <row r="741" spans="1:26" ht="15.75" customHeight="1">
      <c r="A741" s="37"/>
      <c r="B741" s="37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  <c r="T741" s="37"/>
      <c r="U741" s="37"/>
      <c r="V741" s="37"/>
      <c r="W741" s="37"/>
      <c r="X741" s="37"/>
      <c r="Y741" s="37"/>
      <c r="Z741" s="37"/>
    </row>
    <row r="742" spans="1:26" ht="15.75" customHeight="1">
      <c r="A742" s="37"/>
      <c r="B742" s="37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  <c r="T742" s="37"/>
      <c r="U742" s="37"/>
      <c r="V742" s="37"/>
      <c r="W742" s="37"/>
      <c r="X742" s="37"/>
      <c r="Y742" s="37"/>
      <c r="Z742" s="37"/>
    </row>
    <row r="743" spans="1:26" ht="15.75" customHeight="1">
      <c r="A743" s="37"/>
      <c r="B743" s="37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  <c r="T743" s="37"/>
      <c r="U743" s="37"/>
      <c r="V743" s="37"/>
      <c r="W743" s="37"/>
      <c r="X743" s="37"/>
      <c r="Y743" s="37"/>
      <c r="Z743" s="37"/>
    </row>
    <row r="744" spans="1:26" ht="15.75" customHeight="1">
      <c r="A744" s="37"/>
      <c r="B744" s="37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  <c r="T744" s="37"/>
      <c r="U744" s="37"/>
      <c r="V744" s="37"/>
      <c r="W744" s="37"/>
      <c r="X744" s="37"/>
      <c r="Y744" s="37"/>
      <c r="Z744" s="37"/>
    </row>
    <row r="745" spans="1:26" ht="15.75" customHeight="1">
      <c r="A745" s="37"/>
      <c r="B745" s="37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  <c r="T745" s="37"/>
      <c r="U745" s="37"/>
      <c r="V745" s="37"/>
      <c r="W745" s="37"/>
      <c r="X745" s="37"/>
      <c r="Y745" s="37"/>
      <c r="Z745" s="37"/>
    </row>
    <row r="746" spans="1:26" ht="15.75" customHeight="1">
      <c r="A746" s="37"/>
      <c r="B746" s="37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  <c r="T746" s="37"/>
      <c r="U746" s="37"/>
      <c r="V746" s="37"/>
      <c r="W746" s="37"/>
      <c r="X746" s="37"/>
      <c r="Y746" s="37"/>
      <c r="Z746" s="37"/>
    </row>
    <row r="747" spans="1:26" ht="15.75" customHeight="1">
      <c r="A747" s="37"/>
      <c r="B747" s="37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  <c r="T747" s="37"/>
      <c r="U747" s="37"/>
      <c r="V747" s="37"/>
      <c r="W747" s="37"/>
      <c r="X747" s="37"/>
      <c r="Y747" s="37"/>
      <c r="Z747" s="37"/>
    </row>
    <row r="748" spans="1:26" ht="15.75" customHeight="1">
      <c r="A748" s="37"/>
      <c r="B748" s="37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  <c r="T748" s="37"/>
      <c r="U748" s="37"/>
      <c r="V748" s="37"/>
      <c r="W748" s="37"/>
      <c r="X748" s="37"/>
      <c r="Y748" s="37"/>
      <c r="Z748" s="37"/>
    </row>
    <row r="749" spans="1:26" ht="15.75" customHeight="1">
      <c r="A749" s="37"/>
      <c r="B749" s="37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  <c r="T749" s="37"/>
      <c r="U749" s="37"/>
      <c r="V749" s="37"/>
      <c r="W749" s="37"/>
      <c r="X749" s="37"/>
      <c r="Y749" s="37"/>
      <c r="Z749" s="37"/>
    </row>
    <row r="750" spans="1:26" ht="15.75" customHeight="1">
      <c r="A750" s="37"/>
      <c r="B750" s="37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  <c r="T750" s="37"/>
      <c r="U750" s="37"/>
      <c r="V750" s="37"/>
      <c r="W750" s="37"/>
      <c r="X750" s="37"/>
      <c r="Y750" s="37"/>
      <c r="Z750" s="37"/>
    </row>
    <row r="751" spans="1:26" ht="15.75" customHeight="1">
      <c r="A751" s="37"/>
      <c r="B751" s="37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  <c r="T751" s="37"/>
      <c r="U751" s="37"/>
      <c r="V751" s="37"/>
      <c r="W751" s="37"/>
      <c r="X751" s="37"/>
      <c r="Y751" s="37"/>
      <c r="Z751" s="37"/>
    </row>
    <row r="752" spans="1:26" ht="15.75" customHeight="1">
      <c r="A752" s="37"/>
      <c r="B752" s="37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  <c r="Z752" s="37"/>
    </row>
    <row r="753" spans="1:26" ht="15.75" customHeight="1">
      <c r="A753" s="37"/>
      <c r="B753" s="37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  <c r="T753" s="37"/>
      <c r="U753" s="37"/>
      <c r="V753" s="37"/>
      <c r="W753" s="37"/>
      <c r="X753" s="37"/>
      <c r="Y753" s="37"/>
      <c r="Z753" s="37"/>
    </row>
    <row r="754" spans="1:26" ht="15.75" customHeight="1">
      <c r="A754" s="37"/>
      <c r="B754" s="37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  <c r="T754" s="37"/>
      <c r="U754" s="37"/>
      <c r="V754" s="37"/>
      <c r="W754" s="37"/>
      <c r="X754" s="37"/>
      <c r="Y754" s="37"/>
      <c r="Z754" s="37"/>
    </row>
    <row r="755" spans="1:26" ht="15.75" customHeight="1">
      <c r="A755" s="37"/>
      <c r="B755" s="37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  <c r="T755" s="37"/>
      <c r="U755" s="37"/>
      <c r="V755" s="37"/>
      <c r="W755" s="37"/>
      <c r="X755" s="37"/>
      <c r="Y755" s="37"/>
      <c r="Z755" s="37"/>
    </row>
    <row r="756" spans="1:26" ht="15.75" customHeight="1">
      <c r="A756" s="37"/>
      <c r="B756" s="37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  <c r="T756" s="37"/>
      <c r="U756" s="37"/>
      <c r="V756" s="37"/>
      <c r="W756" s="37"/>
      <c r="X756" s="37"/>
      <c r="Y756" s="37"/>
      <c r="Z756" s="37"/>
    </row>
    <row r="757" spans="1:26" ht="15.75" customHeight="1">
      <c r="A757" s="37"/>
      <c r="B757" s="37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  <c r="T757" s="37"/>
      <c r="U757" s="37"/>
      <c r="V757" s="37"/>
      <c r="W757" s="37"/>
      <c r="X757" s="37"/>
      <c r="Y757" s="37"/>
      <c r="Z757" s="37"/>
    </row>
    <row r="758" spans="1:26" ht="15.75" customHeight="1">
      <c r="A758" s="37"/>
      <c r="B758" s="37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  <c r="T758" s="37"/>
      <c r="U758" s="37"/>
      <c r="V758" s="37"/>
      <c r="W758" s="37"/>
      <c r="X758" s="37"/>
      <c r="Y758" s="37"/>
      <c r="Z758" s="37"/>
    </row>
    <row r="759" spans="1:26" ht="15.75" customHeight="1">
      <c r="A759" s="37"/>
      <c r="B759" s="37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  <c r="T759" s="37"/>
      <c r="U759" s="37"/>
      <c r="V759" s="37"/>
      <c r="W759" s="37"/>
      <c r="X759" s="37"/>
      <c r="Y759" s="37"/>
      <c r="Z759" s="37"/>
    </row>
    <row r="760" spans="1:26" ht="15.75" customHeight="1">
      <c r="A760" s="37"/>
      <c r="B760" s="37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  <c r="T760" s="37"/>
      <c r="U760" s="37"/>
      <c r="V760" s="37"/>
      <c r="W760" s="37"/>
      <c r="X760" s="37"/>
      <c r="Y760" s="37"/>
      <c r="Z760" s="37"/>
    </row>
    <row r="761" spans="1:26" ht="15.75" customHeight="1">
      <c r="A761" s="37"/>
      <c r="B761" s="37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  <c r="Z761" s="37"/>
    </row>
    <row r="762" spans="1:26" ht="15.75" customHeight="1">
      <c r="A762" s="37"/>
      <c r="B762" s="37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  <c r="T762" s="37"/>
      <c r="U762" s="37"/>
      <c r="V762" s="37"/>
      <c r="W762" s="37"/>
      <c r="X762" s="37"/>
      <c r="Y762" s="37"/>
      <c r="Z762" s="37"/>
    </row>
    <row r="763" spans="1:26" ht="15.75" customHeight="1">
      <c r="A763" s="37"/>
      <c r="B763" s="37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  <c r="T763" s="37"/>
      <c r="U763" s="37"/>
      <c r="V763" s="37"/>
      <c r="W763" s="37"/>
      <c r="X763" s="37"/>
      <c r="Y763" s="37"/>
      <c r="Z763" s="37"/>
    </row>
    <row r="764" spans="1:26" ht="15.75" customHeight="1">
      <c r="A764" s="37"/>
      <c r="B764" s="37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  <c r="T764" s="37"/>
      <c r="U764" s="37"/>
      <c r="V764" s="37"/>
      <c r="W764" s="37"/>
      <c r="X764" s="37"/>
      <c r="Y764" s="37"/>
      <c r="Z764" s="37"/>
    </row>
    <row r="765" spans="1:26" ht="15.75" customHeight="1">
      <c r="A765" s="37"/>
      <c r="B765" s="37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  <c r="T765" s="37"/>
      <c r="U765" s="37"/>
      <c r="V765" s="37"/>
      <c r="W765" s="37"/>
      <c r="X765" s="37"/>
      <c r="Y765" s="37"/>
      <c r="Z765" s="37"/>
    </row>
    <row r="766" spans="1:26" ht="15.75" customHeight="1">
      <c r="A766" s="37"/>
      <c r="B766" s="37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  <c r="T766" s="37"/>
      <c r="U766" s="37"/>
      <c r="V766" s="37"/>
      <c r="W766" s="37"/>
      <c r="X766" s="37"/>
      <c r="Y766" s="37"/>
      <c r="Z766" s="37"/>
    </row>
    <row r="767" spans="1:26" ht="15.75" customHeight="1">
      <c r="A767" s="37"/>
      <c r="B767" s="37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  <c r="T767" s="37"/>
      <c r="U767" s="37"/>
      <c r="V767" s="37"/>
      <c r="W767" s="37"/>
      <c r="X767" s="37"/>
      <c r="Y767" s="37"/>
      <c r="Z767" s="37"/>
    </row>
    <row r="768" spans="1:26" ht="15.75" customHeight="1">
      <c r="A768" s="37"/>
      <c r="B768" s="37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  <c r="T768" s="37"/>
      <c r="U768" s="37"/>
      <c r="V768" s="37"/>
      <c r="W768" s="37"/>
      <c r="X768" s="37"/>
      <c r="Y768" s="37"/>
      <c r="Z768" s="37"/>
    </row>
    <row r="769" spans="1:26" ht="15.75" customHeight="1">
      <c r="A769" s="37"/>
      <c r="B769" s="37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  <c r="T769" s="37"/>
      <c r="U769" s="37"/>
      <c r="V769" s="37"/>
      <c r="W769" s="37"/>
      <c r="X769" s="37"/>
      <c r="Y769" s="37"/>
      <c r="Z769" s="37"/>
    </row>
    <row r="770" spans="1:26" ht="15.75" customHeight="1">
      <c r="A770" s="37"/>
      <c r="B770" s="37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  <c r="Z770" s="37"/>
    </row>
    <row r="771" spans="1:26" ht="15.75" customHeight="1">
      <c r="A771" s="37"/>
      <c r="B771" s="37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  <c r="T771" s="37"/>
      <c r="U771" s="37"/>
      <c r="V771" s="37"/>
      <c r="W771" s="37"/>
      <c r="X771" s="37"/>
      <c r="Y771" s="37"/>
      <c r="Z771" s="37"/>
    </row>
    <row r="772" spans="1:26" ht="15.75" customHeight="1">
      <c r="A772" s="37"/>
      <c r="B772" s="37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  <c r="T772" s="37"/>
      <c r="U772" s="37"/>
      <c r="V772" s="37"/>
      <c r="W772" s="37"/>
      <c r="X772" s="37"/>
      <c r="Y772" s="37"/>
      <c r="Z772" s="37"/>
    </row>
    <row r="773" spans="1:26" ht="15.75" customHeight="1">
      <c r="A773" s="37"/>
      <c r="B773" s="37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  <c r="T773" s="37"/>
      <c r="U773" s="37"/>
      <c r="V773" s="37"/>
      <c r="W773" s="37"/>
      <c r="X773" s="37"/>
      <c r="Y773" s="37"/>
      <c r="Z773" s="37"/>
    </row>
    <row r="774" spans="1:26" ht="15.75" customHeight="1">
      <c r="A774" s="37"/>
      <c r="B774" s="37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  <c r="T774" s="37"/>
      <c r="U774" s="37"/>
      <c r="V774" s="37"/>
      <c r="W774" s="37"/>
      <c r="X774" s="37"/>
      <c r="Y774" s="37"/>
      <c r="Z774" s="37"/>
    </row>
    <row r="775" spans="1:26" ht="15.75" customHeight="1">
      <c r="A775" s="37"/>
      <c r="B775" s="37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  <c r="T775" s="37"/>
      <c r="U775" s="37"/>
      <c r="V775" s="37"/>
      <c r="W775" s="37"/>
      <c r="X775" s="37"/>
      <c r="Y775" s="37"/>
      <c r="Z775" s="37"/>
    </row>
    <row r="776" spans="1:26" ht="15.75" customHeight="1">
      <c r="A776" s="37"/>
      <c r="B776" s="37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  <c r="Q776" s="37"/>
      <c r="R776" s="37"/>
      <c r="S776" s="37"/>
      <c r="T776" s="37"/>
      <c r="U776" s="37"/>
      <c r="V776" s="37"/>
      <c r="W776" s="37"/>
      <c r="X776" s="37"/>
      <c r="Y776" s="37"/>
      <c r="Z776" s="37"/>
    </row>
    <row r="777" spans="1:26" ht="15.75" customHeight="1">
      <c r="A777" s="37"/>
      <c r="B777" s="37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  <c r="Q777" s="37"/>
      <c r="R777" s="37"/>
      <c r="S777" s="37"/>
      <c r="T777" s="37"/>
      <c r="U777" s="37"/>
      <c r="V777" s="37"/>
      <c r="W777" s="37"/>
      <c r="X777" s="37"/>
      <c r="Y777" s="37"/>
      <c r="Z777" s="37"/>
    </row>
    <row r="778" spans="1:26" ht="15.75" customHeight="1">
      <c r="A778" s="37"/>
      <c r="B778" s="37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  <c r="Q778" s="37"/>
      <c r="R778" s="37"/>
      <c r="S778" s="37"/>
      <c r="T778" s="37"/>
      <c r="U778" s="37"/>
      <c r="V778" s="37"/>
      <c r="W778" s="37"/>
      <c r="X778" s="37"/>
      <c r="Y778" s="37"/>
      <c r="Z778" s="37"/>
    </row>
    <row r="779" spans="1:26" ht="15.75" customHeight="1">
      <c r="A779" s="37"/>
      <c r="B779" s="37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  <c r="Q779" s="37"/>
      <c r="R779" s="37"/>
      <c r="S779" s="37"/>
      <c r="T779" s="37"/>
      <c r="U779" s="37"/>
      <c r="V779" s="37"/>
      <c r="W779" s="37"/>
      <c r="X779" s="37"/>
      <c r="Y779" s="37"/>
      <c r="Z779" s="37"/>
    </row>
    <row r="780" spans="1:26" ht="15.75" customHeight="1">
      <c r="A780" s="37"/>
      <c r="B780" s="37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  <c r="Q780" s="37"/>
      <c r="R780" s="37"/>
      <c r="S780" s="37"/>
      <c r="T780" s="37"/>
      <c r="U780" s="37"/>
      <c r="V780" s="37"/>
      <c r="W780" s="37"/>
      <c r="X780" s="37"/>
      <c r="Y780" s="37"/>
      <c r="Z780" s="37"/>
    </row>
    <row r="781" spans="1:26" ht="15.75" customHeight="1">
      <c r="A781" s="37"/>
      <c r="B781" s="37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  <c r="Q781" s="37"/>
      <c r="R781" s="37"/>
      <c r="S781" s="37"/>
      <c r="T781" s="37"/>
      <c r="U781" s="37"/>
      <c r="V781" s="37"/>
      <c r="W781" s="37"/>
      <c r="X781" s="37"/>
      <c r="Y781" s="37"/>
      <c r="Z781" s="37"/>
    </row>
    <row r="782" spans="1:26" ht="15.75" customHeight="1">
      <c r="A782" s="37"/>
      <c r="B782" s="37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  <c r="Q782" s="37"/>
      <c r="R782" s="37"/>
      <c r="S782" s="37"/>
      <c r="T782" s="37"/>
      <c r="U782" s="37"/>
      <c r="V782" s="37"/>
      <c r="W782" s="37"/>
      <c r="X782" s="37"/>
      <c r="Y782" s="37"/>
      <c r="Z782" s="37"/>
    </row>
    <row r="783" spans="1:26" ht="15.75" customHeight="1">
      <c r="A783" s="37"/>
      <c r="B783" s="37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  <c r="Q783" s="37"/>
      <c r="R783" s="37"/>
      <c r="S783" s="37"/>
      <c r="T783" s="37"/>
      <c r="U783" s="37"/>
      <c r="V783" s="37"/>
      <c r="W783" s="37"/>
      <c r="X783" s="37"/>
      <c r="Y783" s="37"/>
      <c r="Z783" s="37"/>
    </row>
    <row r="784" spans="1:26" ht="15.75" customHeight="1">
      <c r="A784" s="37"/>
      <c r="B784" s="37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  <c r="Q784" s="37"/>
      <c r="R784" s="37"/>
      <c r="S784" s="37"/>
      <c r="T784" s="37"/>
      <c r="U784" s="37"/>
      <c r="V784" s="37"/>
      <c r="W784" s="37"/>
      <c r="X784" s="37"/>
      <c r="Y784" s="37"/>
      <c r="Z784" s="37"/>
    </row>
    <row r="785" spans="1:26" ht="15.75" customHeight="1">
      <c r="A785" s="37"/>
      <c r="B785" s="37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  <c r="Q785" s="37"/>
      <c r="R785" s="37"/>
      <c r="S785" s="37"/>
      <c r="T785" s="37"/>
      <c r="U785" s="37"/>
      <c r="V785" s="37"/>
      <c r="W785" s="37"/>
      <c r="X785" s="37"/>
      <c r="Y785" s="37"/>
      <c r="Z785" s="37"/>
    </row>
    <row r="786" spans="1:26" ht="15.75" customHeight="1">
      <c r="A786" s="37"/>
      <c r="B786" s="37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  <c r="Q786" s="37"/>
      <c r="R786" s="37"/>
      <c r="S786" s="37"/>
      <c r="T786" s="37"/>
      <c r="U786" s="37"/>
      <c r="V786" s="37"/>
      <c r="W786" s="37"/>
      <c r="X786" s="37"/>
      <c r="Y786" s="37"/>
      <c r="Z786" s="37"/>
    </row>
    <row r="787" spans="1:26" ht="15.75" customHeight="1">
      <c r="A787" s="37"/>
      <c r="B787" s="37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  <c r="Q787" s="37"/>
      <c r="R787" s="37"/>
      <c r="S787" s="37"/>
      <c r="T787" s="37"/>
      <c r="U787" s="37"/>
      <c r="V787" s="37"/>
      <c r="W787" s="37"/>
      <c r="X787" s="37"/>
      <c r="Y787" s="37"/>
      <c r="Z787" s="37"/>
    </row>
    <row r="788" spans="1:26" ht="15.75" customHeight="1">
      <c r="A788" s="37"/>
      <c r="B788" s="37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  <c r="Q788" s="37"/>
      <c r="R788" s="37"/>
      <c r="S788" s="37"/>
      <c r="T788" s="37"/>
      <c r="U788" s="37"/>
      <c r="V788" s="37"/>
      <c r="W788" s="37"/>
      <c r="X788" s="37"/>
      <c r="Y788" s="37"/>
      <c r="Z788" s="37"/>
    </row>
    <row r="789" spans="1:26" ht="15.75" customHeight="1">
      <c r="A789" s="37"/>
      <c r="B789" s="37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  <c r="Q789" s="37"/>
      <c r="R789" s="37"/>
      <c r="S789" s="37"/>
      <c r="T789" s="37"/>
      <c r="U789" s="37"/>
      <c r="V789" s="37"/>
      <c r="W789" s="37"/>
      <c r="X789" s="37"/>
      <c r="Y789" s="37"/>
      <c r="Z789" s="37"/>
    </row>
    <row r="790" spans="1:26" ht="15.75" customHeight="1">
      <c r="A790" s="37"/>
      <c r="B790" s="37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  <c r="Q790" s="37"/>
      <c r="R790" s="37"/>
      <c r="S790" s="37"/>
      <c r="T790" s="37"/>
      <c r="U790" s="37"/>
      <c r="V790" s="37"/>
      <c r="W790" s="37"/>
      <c r="X790" s="37"/>
      <c r="Y790" s="37"/>
      <c r="Z790" s="37"/>
    </row>
    <row r="791" spans="1:26" ht="15.75" customHeight="1">
      <c r="A791" s="37"/>
      <c r="B791" s="37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  <c r="Q791" s="37"/>
      <c r="R791" s="37"/>
      <c r="S791" s="37"/>
      <c r="T791" s="37"/>
      <c r="U791" s="37"/>
      <c r="V791" s="37"/>
      <c r="W791" s="37"/>
      <c r="X791" s="37"/>
      <c r="Y791" s="37"/>
      <c r="Z791" s="37"/>
    </row>
    <row r="792" spans="1:26" ht="15.75" customHeight="1">
      <c r="A792" s="37"/>
      <c r="B792" s="37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  <c r="Q792" s="37"/>
      <c r="R792" s="37"/>
      <c r="S792" s="37"/>
      <c r="T792" s="37"/>
      <c r="U792" s="37"/>
      <c r="V792" s="37"/>
      <c r="W792" s="37"/>
      <c r="X792" s="37"/>
      <c r="Y792" s="37"/>
      <c r="Z792" s="37"/>
    </row>
    <row r="793" spans="1:26" ht="15.75" customHeight="1">
      <c r="A793" s="37"/>
      <c r="B793" s="37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  <c r="Q793" s="37"/>
      <c r="R793" s="37"/>
      <c r="S793" s="37"/>
      <c r="T793" s="37"/>
      <c r="U793" s="37"/>
      <c r="V793" s="37"/>
      <c r="W793" s="37"/>
      <c r="X793" s="37"/>
      <c r="Y793" s="37"/>
      <c r="Z793" s="37"/>
    </row>
    <row r="794" spans="1:26" ht="15.75" customHeight="1">
      <c r="A794" s="37"/>
      <c r="B794" s="37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  <c r="Q794" s="37"/>
      <c r="R794" s="37"/>
      <c r="S794" s="37"/>
      <c r="T794" s="37"/>
      <c r="U794" s="37"/>
      <c r="V794" s="37"/>
      <c r="W794" s="37"/>
      <c r="X794" s="37"/>
      <c r="Y794" s="37"/>
      <c r="Z794" s="37"/>
    </row>
    <row r="795" spans="1:26" ht="15.75" customHeight="1">
      <c r="A795" s="37"/>
      <c r="B795" s="37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  <c r="Q795" s="37"/>
      <c r="R795" s="37"/>
      <c r="S795" s="37"/>
      <c r="T795" s="37"/>
      <c r="U795" s="37"/>
      <c r="V795" s="37"/>
      <c r="W795" s="37"/>
      <c r="X795" s="37"/>
      <c r="Y795" s="37"/>
      <c r="Z795" s="37"/>
    </row>
    <row r="796" spans="1:26" ht="15.75" customHeight="1">
      <c r="A796" s="37"/>
      <c r="B796" s="37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  <c r="Q796" s="37"/>
      <c r="R796" s="37"/>
      <c r="S796" s="37"/>
      <c r="T796" s="37"/>
      <c r="U796" s="37"/>
      <c r="V796" s="37"/>
      <c r="W796" s="37"/>
      <c r="X796" s="37"/>
      <c r="Y796" s="37"/>
      <c r="Z796" s="37"/>
    </row>
    <row r="797" spans="1:26" ht="15.75" customHeight="1">
      <c r="A797" s="37"/>
      <c r="B797" s="37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  <c r="Q797" s="37"/>
      <c r="R797" s="37"/>
      <c r="S797" s="37"/>
      <c r="T797" s="37"/>
      <c r="U797" s="37"/>
      <c r="V797" s="37"/>
      <c r="W797" s="37"/>
      <c r="X797" s="37"/>
      <c r="Y797" s="37"/>
      <c r="Z797" s="37"/>
    </row>
    <row r="798" spans="1:26" ht="15.75" customHeight="1">
      <c r="A798" s="37"/>
      <c r="B798" s="37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  <c r="Q798" s="37"/>
      <c r="R798" s="37"/>
      <c r="S798" s="37"/>
      <c r="T798" s="37"/>
      <c r="U798" s="37"/>
      <c r="V798" s="37"/>
      <c r="W798" s="37"/>
      <c r="X798" s="37"/>
      <c r="Y798" s="37"/>
      <c r="Z798" s="37"/>
    </row>
    <row r="799" spans="1:26" ht="15.75" customHeight="1">
      <c r="A799" s="37"/>
      <c r="B799" s="37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  <c r="Q799" s="37"/>
      <c r="R799" s="37"/>
      <c r="S799" s="37"/>
      <c r="T799" s="37"/>
      <c r="U799" s="37"/>
      <c r="V799" s="37"/>
      <c r="W799" s="37"/>
      <c r="X799" s="37"/>
      <c r="Y799" s="37"/>
      <c r="Z799" s="37"/>
    </row>
    <row r="800" spans="1:26" ht="15.75" customHeight="1">
      <c r="A800" s="37"/>
      <c r="B800" s="37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  <c r="Q800" s="37"/>
      <c r="R800" s="37"/>
      <c r="S800" s="37"/>
      <c r="T800" s="37"/>
      <c r="U800" s="37"/>
      <c r="V800" s="37"/>
      <c r="W800" s="37"/>
      <c r="X800" s="37"/>
      <c r="Y800" s="37"/>
      <c r="Z800" s="37"/>
    </row>
    <row r="801" spans="1:26" ht="15.75" customHeight="1">
      <c r="A801" s="37"/>
      <c r="B801" s="37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  <c r="Q801" s="37"/>
      <c r="R801" s="37"/>
      <c r="S801" s="37"/>
      <c r="T801" s="37"/>
      <c r="U801" s="37"/>
      <c r="V801" s="37"/>
      <c r="W801" s="37"/>
      <c r="X801" s="37"/>
      <c r="Y801" s="37"/>
      <c r="Z801" s="37"/>
    </row>
    <row r="802" spans="1:26" ht="15.75" customHeight="1">
      <c r="A802" s="37"/>
      <c r="B802" s="37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  <c r="Q802" s="37"/>
      <c r="R802" s="37"/>
      <c r="S802" s="37"/>
      <c r="T802" s="37"/>
      <c r="U802" s="37"/>
      <c r="V802" s="37"/>
      <c r="W802" s="37"/>
      <c r="X802" s="37"/>
      <c r="Y802" s="37"/>
      <c r="Z802" s="37"/>
    </row>
    <row r="803" spans="1:26" ht="15.75" customHeight="1">
      <c r="A803" s="37"/>
      <c r="B803" s="37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  <c r="Q803" s="37"/>
      <c r="R803" s="37"/>
      <c r="S803" s="37"/>
      <c r="T803" s="37"/>
      <c r="U803" s="37"/>
      <c r="V803" s="37"/>
      <c r="W803" s="37"/>
      <c r="X803" s="37"/>
      <c r="Y803" s="37"/>
      <c r="Z803" s="37"/>
    </row>
    <row r="804" spans="1:26" ht="15.75" customHeight="1">
      <c r="A804" s="37"/>
      <c r="B804" s="37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  <c r="Q804" s="37"/>
      <c r="R804" s="37"/>
      <c r="S804" s="37"/>
      <c r="T804" s="37"/>
      <c r="U804" s="37"/>
      <c r="V804" s="37"/>
      <c r="W804" s="37"/>
      <c r="X804" s="37"/>
      <c r="Y804" s="37"/>
      <c r="Z804" s="37"/>
    </row>
    <row r="805" spans="1:26" ht="15.75" customHeight="1">
      <c r="A805" s="37"/>
      <c r="B805" s="37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  <c r="Q805" s="37"/>
      <c r="R805" s="37"/>
      <c r="S805" s="37"/>
      <c r="T805" s="37"/>
      <c r="U805" s="37"/>
      <c r="V805" s="37"/>
      <c r="W805" s="37"/>
      <c r="X805" s="37"/>
      <c r="Y805" s="37"/>
      <c r="Z805" s="37"/>
    </row>
    <row r="806" spans="1:26" ht="15.75" customHeight="1">
      <c r="A806" s="37"/>
      <c r="B806" s="37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  <c r="Q806" s="37"/>
      <c r="R806" s="37"/>
      <c r="S806" s="37"/>
      <c r="T806" s="37"/>
      <c r="U806" s="37"/>
      <c r="V806" s="37"/>
      <c r="W806" s="37"/>
      <c r="X806" s="37"/>
      <c r="Y806" s="37"/>
      <c r="Z806" s="37"/>
    </row>
    <row r="807" spans="1:26" ht="15.75" customHeight="1">
      <c r="A807" s="37"/>
      <c r="B807" s="37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  <c r="Q807" s="37"/>
      <c r="R807" s="37"/>
      <c r="S807" s="37"/>
      <c r="T807" s="37"/>
      <c r="U807" s="37"/>
      <c r="V807" s="37"/>
      <c r="W807" s="37"/>
      <c r="X807" s="37"/>
      <c r="Y807" s="37"/>
      <c r="Z807" s="37"/>
    </row>
    <row r="808" spans="1:26" ht="15.75" customHeight="1">
      <c r="A808" s="37"/>
      <c r="B808" s="37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  <c r="Q808" s="37"/>
      <c r="R808" s="37"/>
      <c r="S808" s="37"/>
      <c r="T808" s="37"/>
      <c r="U808" s="37"/>
      <c r="V808" s="37"/>
      <c r="W808" s="37"/>
      <c r="X808" s="37"/>
      <c r="Y808" s="37"/>
      <c r="Z808" s="37"/>
    </row>
    <row r="809" spans="1:26" ht="15.75" customHeight="1">
      <c r="A809" s="37"/>
      <c r="B809" s="37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  <c r="Q809" s="37"/>
      <c r="R809" s="37"/>
      <c r="S809" s="37"/>
      <c r="T809" s="37"/>
      <c r="U809" s="37"/>
      <c r="V809" s="37"/>
      <c r="W809" s="37"/>
      <c r="X809" s="37"/>
      <c r="Y809" s="37"/>
      <c r="Z809" s="37"/>
    </row>
    <row r="810" spans="1:26" ht="15.75" customHeight="1">
      <c r="A810" s="37"/>
      <c r="B810" s="37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  <c r="Q810" s="37"/>
      <c r="R810" s="37"/>
      <c r="S810" s="37"/>
      <c r="T810" s="37"/>
      <c r="U810" s="37"/>
      <c r="V810" s="37"/>
      <c r="W810" s="37"/>
      <c r="X810" s="37"/>
      <c r="Y810" s="37"/>
      <c r="Z810" s="37"/>
    </row>
    <row r="811" spans="1:26" ht="15.75" customHeight="1">
      <c r="A811" s="37"/>
      <c r="B811" s="37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  <c r="Q811" s="37"/>
      <c r="R811" s="37"/>
      <c r="S811" s="37"/>
      <c r="T811" s="37"/>
      <c r="U811" s="37"/>
      <c r="V811" s="37"/>
      <c r="W811" s="37"/>
      <c r="X811" s="37"/>
      <c r="Y811" s="37"/>
      <c r="Z811" s="37"/>
    </row>
    <row r="812" spans="1:26" ht="15.75" customHeight="1">
      <c r="A812" s="37"/>
      <c r="B812" s="37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  <c r="Q812" s="37"/>
      <c r="R812" s="37"/>
      <c r="S812" s="37"/>
      <c r="T812" s="37"/>
      <c r="U812" s="37"/>
      <c r="V812" s="37"/>
      <c r="W812" s="37"/>
      <c r="X812" s="37"/>
      <c r="Y812" s="37"/>
      <c r="Z812" s="37"/>
    </row>
    <row r="813" spans="1:26" ht="15.75" customHeight="1">
      <c r="A813" s="37"/>
      <c r="B813" s="37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  <c r="Q813" s="37"/>
      <c r="R813" s="37"/>
      <c r="S813" s="37"/>
      <c r="T813" s="37"/>
      <c r="U813" s="37"/>
      <c r="V813" s="37"/>
      <c r="W813" s="37"/>
      <c r="X813" s="37"/>
      <c r="Y813" s="37"/>
      <c r="Z813" s="37"/>
    </row>
    <row r="814" spans="1:26" ht="15.75" customHeight="1">
      <c r="A814" s="37"/>
      <c r="B814" s="37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  <c r="Q814" s="37"/>
      <c r="R814" s="37"/>
      <c r="S814" s="37"/>
      <c r="T814" s="37"/>
      <c r="U814" s="37"/>
      <c r="V814" s="37"/>
      <c r="W814" s="37"/>
      <c r="X814" s="37"/>
      <c r="Y814" s="37"/>
      <c r="Z814" s="37"/>
    </row>
    <row r="815" spans="1:26" ht="15.75" customHeight="1">
      <c r="A815" s="37"/>
      <c r="B815" s="37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  <c r="Q815" s="37"/>
      <c r="R815" s="37"/>
      <c r="S815" s="37"/>
      <c r="T815" s="37"/>
      <c r="U815" s="37"/>
      <c r="V815" s="37"/>
      <c r="W815" s="37"/>
      <c r="X815" s="37"/>
      <c r="Y815" s="37"/>
      <c r="Z815" s="37"/>
    </row>
    <row r="816" spans="1:26" ht="15.75" customHeight="1">
      <c r="A816" s="37"/>
      <c r="B816" s="37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  <c r="Q816" s="37"/>
      <c r="R816" s="37"/>
      <c r="S816" s="37"/>
      <c r="T816" s="37"/>
      <c r="U816" s="37"/>
      <c r="V816" s="37"/>
      <c r="W816" s="37"/>
      <c r="X816" s="37"/>
      <c r="Y816" s="37"/>
      <c r="Z816" s="37"/>
    </row>
    <row r="817" spans="1:26" ht="15.75" customHeight="1">
      <c r="A817" s="37"/>
      <c r="B817" s="37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  <c r="Q817" s="37"/>
      <c r="R817" s="37"/>
      <c r="S817" s="37"/>
      <c r="T817" s="37"/>
      <c r="U817" s="37"/>
      <c r="V817" s="37"/>
      <c r="W817" s="37"/>
      <c r="X817" s="37"/>
      <c r="Y817" s="37"/>
      <c r="Z817" s="37"/>
    </row>
    <row r="818" spans="1:26" ht="15.75" customHeight="1">
      <c r="A818" s="37"/>
      <c r="B818" s="37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  <c r="Q818" s="37"/>
      <c r="R818" s="37"/>
      <c r="S818" s="37"/>
      <c r="T818" s="37"/>
      <c r="U818" s="37"/>
      <c r="V818" s="37"/>
      <c r="W818" s="37"/>
      <c r="X818" s="37"/>
      <c r="Y818" s="37"/>
      <c r="Z818" s="37"/>
    </row>
    <row r="819" spans="1:26" ht="15.75" customHeight="1">
      <c r="A819" s="37"/>
      <c r="B819" s="37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  <c r="Q819" s="37"/>
      <c r="R819" s="37"/>
      <c r="S819" s="37"/>
      <c r="T819" s="37"/>
      <c r="U819" s="37"/>
      <c r="V819" s="37"/>
      <c r="W819" s="37"/>
      <c r="X819" s="37"/>
      <c r="Y819" s="37"/>
      <c r="Z819" s="37"/>
    </row>
    <row r="820" spans="1:26" ht="15.75" customHeight="1">
      <c r="A820" s="37"/>
      <c r="B820" s="37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  <c r="Q820" s="37"/>
      <c r="R820" s="37"/>
      <c r="S820" s="37"/>
      <c r="T820" s="37"/>
      <c r="U820" s="37"/>
      <c r="V820" s="37"/>
      <c r="W820" s="37"/>
      <c r="X820" s="37"/>
      <c r="Y820" s="37"/>
      <c r="Z820" s="37"/>
    </row>
    <row r="821" spans="1:26" ht="15.75" customHeight="1">
      <c r="A821" s="37"/>
      <c r="B821" s="37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  <c r="Q821" s="37"/>
      <c r="R821" s="37"/>
      <c r="S821" s="37"/>
      <c r="T821" s="37"/>
      <c r="U821" s="37"/>
      <c r="V821" s="37"/>
      <c r="W821" s="37"/>
      <c r="X821" s="37"/>
      <c r="Y821" s="37"/>
      <c r="Z821" s="37"/>
    </row>
    <row r="822" spans="1:26" ht="15.75" customHeight="1">
      <c r="A822" s="37"/>
      <c r="B822" s="37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  <c r="Q822" s="37"/>
      <c r="R822" s="37"/>
      <c r="S822" s="37"/>
      <c r="T822" s="37"/>
      <c r="U822" s="37"/>
      <c r="V822" s="37"/>
      <c r="W822" s="37"/>
      <c r="X822" s="37"/>
      <c r="Y822" s="37"/>
      <c r="Z822" s="37"/>
    </row>
    <row r="823" spans="1:26" ht="15.75" customHeight="1">
      <c r="A823" s="37"/>
      <c r="B823" s="37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  <c r="Q823" s="37"/>
      <c r="R823" s="37"/>
      <c r="S823" s="37"/>
      <c r="T823" s="37"/>
      <c r="U823" s="37"/>
      <c r="V823" s="37"/>
      <c r="W823" s="37"/>
      <c r="X823" s="37"/>
      <c r="Y823" s="37"/>
      <c r="Z823" s="37"/>
    </row>
    <row r="824" spans="1:26" ht="15.75" customHeight="1">
      <c r="A824" s="37"/>
      <c r="B824" s="37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  <c r="Q824" s="37"/>
      <c r="R824" s="37"/>
      <c r="S824" s="37"/>
      <c r="T824" s="37"/>
      <c r="U824" s="37"/>
      <c r="V824" s="37"/>
      <c r="W824" s="37"/>
      <c r="X824" s="37"/>
      <c r="Y824" s="37"/>
      <c r="Z824" s="37"/>
    </row>
    <row r="825" spans="1:26" ht="15.75" customHeight="1">
      <c r="A825" s="37"/>
      <c r="B825" s="37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  <c r="Q825" s="37"/>
      <c r="R825" s="37"/>
      <c r="S825" s="37"/>
      <c r="T825" s="37"/>
      <c r="U825" s="37"/>
      <c r="V825" s="37"/>
      <c r="W825" s="37"/>
      <c r="X825" s="37"/>
      <c r="Y825" s="37"/>
      <c r="Z825" s="37"/>
    </row>
    <row r="826" spans="1:26" ht="15.75" customHeight="1">
      <c r="A826" s="37"/>
      <c r="B826" s="37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  <c r="Q826" s="37"/>
      <c r="R826" s="37"/>
      <c r="S826" s="37"/>
      <c r="T826" s="37"/>
      <c r="U826" s="37"/>
      <c r="V826" s="37"/>
      <c r="W826" s="37"/>
      <c r="X826" s="37"/>
      <c r="Y826" s="37"/>
      <c r="Z826" s="37"/>
    </row>
    <row r="827" spans="1:26" ht="15.75" customHeight="1">
      <c r="A827" s="37"/>
      <c r="B827" s="37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  <c r="Q827" s="37"/>
      <c r="R827" s="37"/>
      <c r="S827" s="37"/>
      <c r="T827" s="37"/>
      <c r="U827" s="37"/>
      <c r="V827" s="37"/>
      <c r="W827" s="37"/>
      <c r="X827" s="37"/>
      <c r="Y827" s="37"/>
      <c r="Z827" s="37"/>
    </row>
    <row r="828" spans="1:26" ht="15.75" customHeight="1">
      <c r="A828" s="37"/>
      <c r="B828" s="37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  <c r="Q828" s="37"/>
      <c r="R828" s="37"/>
      <c r="S828" s="37"/>
      <c r="T828" s="37"/>
      <c r="U828" s="37"/>
      <c r="V828" s="37"/>
      <c r="W828" s="37"/>
      <c r="X828" s="37"/>
      <c r="Y828" s="37"/>
      <c r="Z828" s="37"/>
    </row>
    <row r="829" spans="1:26" ht="15.75" customHeight="1">
      <c r="A829" s="37"/>
      <c r="B829" s="37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  <c r="Q829" s="37"/>
      <c r="R829" s="37"/>
      <c r="S829" s="37"/>
      <c r="T829" s="37"/>
      <c r="U829" s="37"/>
      <c r="V829" s="37"/>
      <c r="W829" s="37"/>
      <c r="X829" s="37"/>
      <c r="Y829" s="37"/>
      <c r="Z829" s="37"/>
    </row>
    <row r="830" spans="1:26" ht="15.75" customHeight="1">
      <c r="A830" s="37"/>
      <c r="B830" s="37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  <c r="Q830" s="37"/>
      <c r="R830" s="37"/>
      <c r="S830" s="37"/>
      <c r="T830" s="37"/>
      <c r="U830" s="37"/>
      <c r="V830" s="37"/>
      <c r="W830" s="37"/>
      <c r="X830" s="37"/>
      <c r="Y830" s="37"/>
      <c r="Z830" s="37"/>
    </row>
    <row r="831" spans="1:26" ht="15.75" customHeight="1">
      <c r="A831" s="37"/>
      <c r="B831" s="37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  <c r="Q831" s="37"/>
      <c r="R831" s="37"/>
      <c r="S831" s="37"/>
      <c r="T831" s="37"/>
      <c r="U831" s="37"/>
      <c r="V831" s="37"/>
      <c r="W831" s="37"/>
      <c r="X831" s="37"/>
      <c r="Y831" s="37"/>
      <c r="Z831" s="37"/>
    </row>
    <row r="832" spans="1:26" ht="15.75" customHeight="1">
      <c r="A832" s="37"/>
      <c r="B832" s="37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  <c r="Q832" s="37"/>
      <c r="R832" s="37"/>
      <c r="S832" s="37"/>
      <c r="T832" s="37"/>
      <c r="U832" s="37"/>
      <c r="V832" s="37"/>
      <c r="W832" s="37"/>
      <c r="X832" s="37"/>
      <c r="Y832" s="37"/>
      <c r="Z832" s="37"/>
    </row>
    <row r="833" spans="1:26" ht="15.75" customHeight="1">
      <c r="A833" s="37"/>
      <c r="B833" s="37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  <c r="Q833" s="37"/>
      <c r="R833" s="37"/>
      <c r="S833" s="37"/>
      <c r="T833" s="37"/>
      <c r="U833" s="37"/>
      <c r="V833" s="37"/>
      <c r="W833" s="37"/>
      <c r="X833" s="37"/>
      <c r="Y833" s="37"/>
      <c r="Z833" s="37"/>
    </row>
    <row r="834" spans="1:26" ht="15.75" customHeight="1">
      <c r="A834" s="37"/>
      <c r="B834" s="37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  <c r="Q834" s="37"/>
      <c r="R834" s="37"/>
      <c r="S834" s="37"/>
      <c r="T834" s="37"/>
      <c r="U834" s="37"/>
      <c r="V834" s="37"/>
      <c r="W834" s="37"/>
      <c r="X834" s="37"/>
      <c r="Y834" s="37"/>
      <c r="Z834" s="37"/>
    </row>
    <row r="835" spans="1:26" ht="15.75" customHeight="1">
      <c r="A835" s="37"/>
      <c r="B835" s="37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  <c r="Q835" s="37"/>
      <c r="R835" s="37"/>
      <c r="S835" s="37"/>
      <c r="T835" s="37"/>
      <c r="U835" s="37"/>
      <c r="V835" s="37"/>
      <c r="W835" s="37"/>
      <c r="X835" s="37"/>
      <c r="Y835" s="37"/>
      <c r="Z835" s="37"/>
    </row>
    <row r="836" spans="1:26" ht="15.75" customHeight="1">
      <c r="A836" s="37"/>
      <c r="B836" s="37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  <c r="Q836" s="37"/>
      <c r="R836" s="37"/>
      <c r="S836" s="37"/>
      <c r="T836" s="37"/>
      <c r="U836" s="37"/>
      <c r="V836" s="37"/>
      <c r="W836" s="37"/>
      <c r="X836" s="37"/>
      <c r="Y836" s="37"/>
      <c r="Z836" s="37"/>
    </row>
    <row r="837" spans="1:26" ht="15.75" customHeight="1">
      <c r="A837" s="37"/>
      <c r="B837" s="37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  <c r="Q837" s="37"/>
      <c r="R837" s="37"/>
      <c r="S837" s="37"/>
      <c r="T837" s="37"/>
      <c r="U837" s="37"/>
      <c r="V837" s="37"/>
      <c r="W837" s="37"/>
      <c r="X837" s="37"/>
      <c r="Y837" s="37"/>
      <c r="Z837" s="37"/>
    </row>
    <row r="838" spans="1:26" ht="15.75" customHeight="1">
      <c r="A838" s="37"/>
      <c r="B838" s="37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  <c r="Q838" s="37"/>
      <c r="R838" s="37"/>
      <c r="S838" s="37"/>
      <c r="T838" s="37"/>
      <c r="U838" s="37"/>
      <c r="V838" s="37"/>
      <c r="W838" s="37"/>
      <c r="X838" s="37"/>
      <c r="Y838" s="37"/>
      <c r="Z838" s="37"/>
    </row>
    <row r="839" spans="1:26" ht="15.75" customHeight="1">
      <c r="A839" s="37"/>
      <c r="B839" s="37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  <c r="Q839" s="37"/>
      <c r="R839" s="37"/>
      <c r="S839" s="37"/>
      <c r="T839" s="37"/>
      <c r="U839" s="37"/>
      <c r="V839" s="37"/>
      <c r="W839" s="37"/>
      <c r="X839" s="37"/>
      <c r="Y839" s="37"/>
      <c r="Z839" s="37"/>
    </row>
    <row r="840" spans="1:26" ht="15.75" customHeight="1">
      <c r="A840" s="37"/>
      <c r="B840" s="37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  <c r="Q840" s="37"/>
      <c r="R840" s="37"/>
      <c r="S840" s="37"/>
      <c r="T840" s="37"/>
      <c r="U840" s="37"/>
      <c r="V840" s="37"/>
      <c r="W840" s="37"/>
      <c r="X840" s="37"/>
      <c r="Y840" s="37"/>
      <c r="Z840" s="37"/>
    </row>
    <row r="841" spans="1:26" ht="15.75" customHeight="1">
      <c r="A841" s="37"/>
      <c r="B841" s="37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  <c r="Q841" s="37"/>
      <c r="R841" s="37"/>
      <c r="S841" s="37"/>
      <c r="T841" s="37"/>
      <c r="U841" s="37"/>
      <c r="V841" s="37"/>
      <c r="W841" s="37"/>
      <c r="X841" s="37"/>
      <c r="Y841" s="37"/>
      <c r="Z841" s="37"/>
    </row>
    <row r="842" spans="1:26" ht="15.75" customHeight="1">
      <c r="A842" s="37"/>
      <c r="B842" s="37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  <c r="Q842" s="37"/>
      <c r="R842" s="37"/>
      <c r="S842" s="37"/>
      <c r="T842" s="37"/>
      <c r="U842" s="37"/>
      <c r="V842" s="37"/>
      <c r="W842" s="37"/>
      <c r="X842" s="37"/>
      <c r="Y842" s="37"/>
      <c r="Z842" s="37"/>
    </row>
    <row r="843" spans="1:26" ht="15.75" customHeight="1">
      <c r="A843" s="37"/>
      <c r="B843" s="37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  <c r="Q843" s="37"/>
      <c r="R843" s="37"/>
      <c r="S843" s="37"/>
      <c r="T843" s="37"/>
      <c r="U843" s="37"/>
      <c r="V843" s="37"/>
      <c r="W843" s="37"/>
      <c r="X843" s="37"/>
      <c r="Y843" s="37"/>
      <c r="Z843" s="37"/>
    </row>
    <row r="844" spans="1:26" ht="15.75" customHeight="1">
      <c r="A844" s="37"/>
      <c r="B844" s="37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  <c r="Q844" s="37"/>
      <c r="R844" s="37"/>
      <c r="S844" s="37"/>
      <c r="T844" s="37"/>
      <c r="U844" s="37"/>
      <c r="V844" s="37"/>
      <c r="W844" s="37"/>
      <c r="X844" s="37"/>
      <c r="Y844" s="37"/>
      <c r="Z844" s="37"/>
    </row>
    <row r="845" spans="1:26" ht="15.75" customHeight="1">
      <c r="A845" s="37"/>
      <c r="B845" s="37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  <c r="Q845" s="37"/>
      <c r="R845" s="37"/>
      <c r="S845" s="37"/>
      <c r="T845" s="37"/>
      <c r="U845" s="37"/>
      <c r="V845" s="37"/>
      <c r="W845" s="37"/>
      <c r="X845" s="37"/>
      <c r="Y845" s="37"/>
      <c r="Z845" s="37"/>
    </row>
    <row r="846" spans="1:26" ht="15.75" customHeight="1">
      <c r="A846" s="37"/>
      <c r="B846" s="37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  <c r="Q846" s="37"/>
      <c r="R846" s="37"/>
      <c r="S846" s="37"/>
      <c r="T846" s="37"/>
      <c r="U846" s="37"/>
      <c r="V846" s="37"/>
      <c r="W846" s="37"/>
      <c r="X846" s="37"/>
      <c r="Y846" s="37"/>
      <c r="Z846" s="37"/>
    </row>
    <row r="847" spans="1:26" ht="15.75" customHeight="1">
      <c r="A847" s="37"/>
      <c r="B847" s="37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  <c r="Q847" s="37"/>
      <c r="R847" s="37"/>
      <c r="S847" s="37"/>
      <c r="T847" s="37"/>
      <c r="U847" s="37"/>
      <c r="V847" s="37"/>
      <c r="W847" s="37"/>
      <c r="X847" s="37"/>
      <c r="Y847" s="37"/>
      <c r="Z847" s="37"/>
    </row>
    <row r="848" spans="1:26" ht="15.75" customHeight="1">
      <c r="A848" s="37"/>
      <c r="B848" s="37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  <c r="Q848" s="37"/>
      <c r="R848" s="37"/>
      <c r="S848" s="37"/>
      <c r="T848" s="37"/>
      <c r="U848" s="37"/>
      <c r="V848" s="37"/>
      <c r="W848" s="37"/>
      <c r="X848" s="37"/>
      <c r="Y848" s="37"/>
      <c r="Z848" s="37"/>
    </row>
    <row r="849" spans="1:26" ht="15.75" customHeight="1">
      <c r="A849" s="37"/>
      <c r="B849" s="37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  <c r="Q849" s="37"/>
      <c r="R849" s="37"/>
      <c r="S849" s="37"/>
      <c r="T849" s="37"/>
      <c r="U849" s="37"/>
      <c r="V849" s="37"/>
      <c r="W849" s="37"/>
      <c r="X849" s="37"/>
      <c r="Y849" s="37"/>
      <c r="Z849" s="37"/>
    </row>
    <row r="850" spans="1:26" ht="15.75" customHeight="1">
      <c r="A850" s="37"/>
      <c r="B850" s="37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  <c r="Q850" s="37"/>
      <c r="R850" s="37"/>
      <c r="S850" s="37"/>
      <c r="T850" s="37"/>
      <c r="U850" s="37"/>
      <c r="V850" s="37"/>
      <c r="W850" s="37"/>
      <c r="X850" s="37"/>
      <c r="Y850" s="37"/>
      <c r="Z850" s="37"/>
    </row>
    <row r="851" spans="1:26" ht="15.75" customHeight="1">
      <c r="A851" s="37"/>
      <c r="B851" s="37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  <c r="Q851" s="37"/>
      <c r="R851" s="37"/>
      <c r="S851" s="37"/>
      <c r="T851" s="37"/>
      <c r="U851" s="37"/>
      <c r="V851" s="37"/>
      <c r="W851" s="37"/>
      <c r="X851" s="37"/>
      <c r="Y851" s="37"/>
      <c r="Z851" s="37"/>
    </row>
    <row r="852" spans="1:26" ht="15.75" customHeight="1">
      <c r="A852" s="37"/>
      <c r="B852" s="37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  <c r="Q852" s="37"/>
      <c r="R852" s="37"/>
      <c r="S852" s="37"/>
      <c r="T852" s="37"/>
      <c r="U852" s="37"/>
      <c r="V852" s="37"/>
      <c r="W852" s="37"/>
      <c r="X852" s="37"/>
      <c r="Y852" s="37"/>
      <c r="Z852" s="37"/>
    </row>
    <row r="853" spans="1:26" ht="15.75" customHeight="1">
      <c r="A853" s="37"/>
      <c r="B853" s="37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  <c r="Q853" s="37"/>
      <c r="R853" s="37"/>
      <c r="S853" s="37"/>
      <c r="T853" s="37"/>
      <c r="U853" s="37"/>
      <c r="V853" s="37"/>
      <c r="W853" s="37"/>
      <c r="X853" s="37"/>
      <c r="Y853" s="37"/>
      <c r="Z853" s="37"/>
    </row>
    <row r="854" spans="1:26" ht="15.75" customHeight="1">
      <c r="A854" s="37"/>
      <c r="B854" s="37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  <c r="Q854" s="37"/>
      <c r="R854" s="37"/>
      <c r="S854" s="37"/>
      <c r="T854" s="37"/>
      <c r="U854" s="37"/>
      <c r="V854" s="37"/>
      <c r="W854" s="37"/>
      <c r="X854" s="37"/>
      <c r="Y854" s="37"/>
      <c r="Z854" s="37"/>
    </row>
    <row r="855" spans="1:26" ht="15.75" customHeight="1">
      <c r="A855" s="37"/>
      <c r="B855" s="37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  <c r="Q855" s="37"/>
      <c r="R855" s="37"/>
      <c r="S855" s="37"/>
      <c r="T855" s="37"/>
      <c r="U855" s="37"/>
      <c r="V855" s="37"/>
      <c r="W855" s="37"/>
      <c r="X855" s="37"/>
      <c r="Y855" s="37"/>
      <c r="Z855" s="37"/>
    </row>
    <row r="856" spans="1:26" ht="15.75" customHeight="1">
      <c r="A856" s="37"/>
      <c r="B856" s="37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  <c r="Q856" s="37"/>
      <c r="R856" s="37"/>
      <c r="S856" s="37"/>
      <c r="T856" s="37"/>
      <c r="U856" s="37"/>
      <c r="V856" s="37"/>
      <c r="W856" s="37"/>
      <c r="X856" s="37"/>
      <c r="Y856" s="37"/>
      <c r="Z856" s="37"/>
    </row>
    <row r="857" spans="1:26" ht="15.75" customHeight="1">
      <c r="A857" s="37"/>
      <c r="B857" s="37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  <c r="Q857" s="37"/>
      <c r="R857" s="37"/>
      <c r="S857" s="37"/>
      <c r="T857" s="37"/>
      <c r="U857" s="37"/>
      <c r="V857" s="37"/>
      <c r="W857" s="37"/>
      <c r="X857" s="37"/>
      <c r="Y857" s="37"/>
      <c r="Z857" s="37"/>
    </row>
    <row r="858" spans="1:26" ht="15.75" customHeight="1">
      <c r="A858" s="37"/>
      <c r="B858" s="37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  <c r="Q858" s="37"/>
      <c r="R858" s="37"/>
      <c r="S858" s="37"/>
      <c r="T858" s="37"/>
      <c r="U858" s="37"/>
      <c r="V858" s="37"/>
      <c r="W858" s="37"/>
      <c r="X858" s="37"/>
      <c r="Y858" s="37"/>
      <c r="Z858" s="37"/>
    </row>
    <row r="859" spans="1:26" ht="15.75" customHeight="1">
      <c r="A859" s="37"/>
      <c r="B859" s="37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  <c r="Q859" s="37"/>
      <c r="R859" s="37"/>
      <c r="S859" s="37"/>
      <c r="T859" s="37"/>
      <c r="U859" s="37"/>
      <c r="V859" s="37"/>
      <c r="W859" s="37"/>
      <c r="X859" s="37"/>
      <c r="Y859" s="37"/>
      <c r="Z859" s="37"/>
    </row>
    <row r="860" spans="1:26" ht="15.75" customHeight="1">
      <c r="A860" s="37"/>
      <c r="B860" s="37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  <c r="Q860" s="37"/>
      <c r="R860" s="37"/>
      <c r="S860" s="37"/>
      <c r="T860" s="37"/>
      <c r="U860" s="37"/>
      <c r="V860" s="37"/>
      <c r="W860" s="37"/>
      <c r="X860" s="37"/>
      <c r="Y860" s="37"/>
      <c r="Z860" s="37"/>
    </row>
    <row r="861" spans="1:26" ht="15.75" customHeight="1">
      <c r="A861" s="37"/>
      <c r="B861" s="37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  <c r="Q861" s="37"/>
      <c r="R861" s="37"/>
      <c r="S861" s="37"/>
      <c r="T861" s="37"/>
      <c r="U861" s="37"/>
      <c r="V861" s="37"/>
      <c r="W861" s="37"/>
      <c r="X861" s="37"/>
      <c r="Y861" s="37"/>
      <c r="Z861" s="37"/>
    </row>
    <row r="862" spans="1:26" ht="15.75" customHeight="1">
      <c r="A862" s="37"/>
      <c r="B862" s="37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  <c r="Q862" s="37"/>
      <c r="R862" s="37"/>
      <c r="S862" s="37"/>
      <c r="T862" s="37"/>
      <c r="U862" s="37"/>
      <c r="V862" s="37"/>
      <c r="W862" s="37"/>
      <c r="X862" s="37"/>
      <c r="Y862" s="37"/>
      <c r="Z862" s="37"/>
    </row>
    <row r="863" spans="1:26" ht="15.75" customHeight="1">
      <c r="A863" s="37"/>
      <c r="B863" s="37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  <c r="Q863" s="37"/>
      <c r="R863" s="37"/>
      <c r="S863" s="37"/>
      <c r="T863" s="37"/>
      <c r="U863" s="37"/>
      <c r="V863" s="37"/>
      <c r="W863" s="37"/>
      <c r="X863" s="37"/>
      <c r="Y863" s="37"/>
      <c r="Z863" s="37"/>
    </row>
    <row r="864" spans="1:26" ht="15.75" customHeight="1">
      <c r="A864" s="37"/>
      <c r="B864" s="37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  <c r="Q864" s="37"/>
      <c r="R864" s="37"/>
      <c r="S864" s="37"/>
      <c r="T864" s="37"/>
      <c r="U864" s="37"/>
      <c r="V864" s="37"/>
      <c r="W864" s="37"/>
      <c r="X864" s="37"/>
      <c r="Y864" s="37"/>
      <c r="Z864" s="37"/>
    </row>
    <row r="865" spans="1:26" ht="15.75" customHeight="1">
      <c r="A865" s="37"/>
      <c r="B865" s="37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  <c r="Q865" s="37"/>
      <c r="R865" s="37"/>
      <c r="S865" s="37"/>
      <c r="T865" s="37"/>
      <c r="U865" s="37"/>
      <c r="V865" s="37"/>
      <c r="W865" s="37"/>
      <c r="X865" s="37"/>
      <c r="Y865" s="37"/>
      <c r="Z865" s="37"/>
    </row>
    <row r="866" spans="1:26" ht="15.75" customHeight="1">
      <c r="A866" s="37"/>
      <c r="B866" s="37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  <c r="Q866" s="37"/>
      <c r="R866" s="37"/>
      <c r="S866" s="37"/>
      <c r="T866" s="37"/>
      <c r="U866" s="37"/>
      <c r="V866" s="37"/>
      <c r="W866" s="37"/>
      <c r="X866" s="37"/>
      <c r="Y866" s="37"/>
      <c r="Z866" s="37"/>
    </row>
    <row r="867" spans="1:26" ht="15.75" customHeight="1">
      <c r="A867" s="37"/>
      <c r="B867" s="37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  <c r="Q867" s="37"/>
      <c r="R867" s="37"/>
      <c r="S867" s="37"/>
      <c r="T867" s="37"/>
      <c r="U867" s="37"/>
      <c r="V867" s="37"/>
      <c r="W867" s="37"/>
      <c r="X867" s="37"/>
      <c r="Y867" s="37"/>
      <c r="Z867" s="37"/>
    </row>
    <row r="868" spans="1:26" ht="15.75" customHeight="1">
      <c r="A868" s="37"/>
      <c r="B868" s="37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  <c r="Q868" s="37"/>
      <c r="R868" s="37"/>
      <c r="S868" s="37"/>
      <c r="T868" s="37"/>
      <c r="U868" s="37"/>
      <c r="V868" s="37"/>
      <c r="W868" s="37"/>
      <c r="X868" s="37"/>
      <c r="Y868" s="37"/>
      <c r="Z868" s="37"/>
    </row>
    <row r="869" spans="1:26" ht="15.75" customHeight="1">
      <c r="A869" s="37"/>
      <c r="B869" s="37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  <c r="Q869" s="37"/>
      <c r="R869" s="37"/>
      <c r="S869" s="37"/>
      <c r="T869" s="37"/>
      <c r="U869" s="37"/>
      <c r="V869" s="37"/>
      <c r="W869" s="37"/>
      <c r="X869" s="37"/>
      <c r="Y869" s="37"/>
      <c r="Z869" s="37"/>
    </row>
    <row r="870" spans="1:26" ht="15.75" customHeight="1">
      <c r="A870" s="37"/>
      <c r="B870" s="37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  <c r="Q870" s="37"/>
      <c r="R870" s="37"/>
      <c r="S870" s="37"/>
      <c r="T870" s="37"/>
      <c r="U870" s="37"/>
      <c r="V870" s="37"/>
      <c r="W870" s="37"/>
      <c r="X870" s="37"/>
      <c r="Y870" s="37"/>
      <c r="Z870" s="37"/>
    </row>
    <row r="871" spans="1:26" ht="15.75" customHeight="1">
      <c r="A871" s="37"/>
      <c r="B871" s="37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  <c r="Q871" s="37"/>
      <c r="R871" s="37"/>
      <c r="S871" s="37"/>
      <c r="T871" s="37"/>
      <c r="U871" s="37"/>
      <c r="V871" s="37"/>
      <c r="W871" s="37"/>
      <c r="X871" s="37"/>
      <c r="Y871" s="37"/>
      <c r="Z871" s="37"/>
    </row>
    <row r="872" spans="1:26" ht="15.75" customHeight="1">
      <c r="A872" s="37"/>
      <c r="B872" s="37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  <c r="Q872" s="37"/>
      <c r="R872" s="37"/>
      <c r="S872" s="37"/>
      <c r="T872" s="37"/>
      <c r="U872" s="37"/>
      <c r="V872" s="37"/>
      <c r="W872" s="37"/>
      <c r="X872" s="37"/>
      <c r="Y872" s="37"/>
      <c r="Z872" s="37"/>
    </row>
    <row r="873" spans="1:26" ht="15.75" customHeight="1">
      <c r="A873" s="37"/>
      <c r="B873" s="37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  <c r="Q873" s="37"/>
      <c r="R873" s="37"/>
      <c r="S873" s="37"/>
      <c r="T873" s="37"/>
      <c r="U873" s="37"/>
      <c r="V873" s="37"/>
      <c r="W873" s="37"/>
      <c r="X873" s="37"/>
      <c r="Y873" s="37"/>
      <c r="Z873" s="37"/>
    </row>
    <row r="874" spans="1:26" ht="15.75" customHeight="1">
      <c r="A874" s="37"/>
      <c r="B874" s="37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  <c r="Q874" s="37"/>
      <c r="R874" s="37"/>
      <c r="S874" s="37"/>
      <c r="T874" s="37"/>
      <c r="U874" s="37"/>
      <c r="V874" s="37"/>
      <c r="W874" s="37"/>
      <c r="X874" s="37"/>
      <c r="Y874" s="37"/>
      <c r="Z874" s="37"/>
    </row>
    <row r="875" spans="1:26" ht="15.75" customHeight="1">
      <c r="A875" s="37"/>
      <c r="B875" s="37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  <c r="Q875" s="37"/>
      <c r="R875" s="37"/>
      <c r="S875" s="37"/>
      <c r="T875" s="37"/>
      <c r="U875" s="37"/>
      <c r="V875" s="37"/>
      <c r="W875" s="37"/>
      <c r="X875" s="37"/>
      <c r="Y875" s="37"/>
      <c r="Z875" s="37"/>
    </row>
    <row r="876" spans="1:26" ht="15.75" customHeight="1">
      <c r="A876" s="37"/>
      <c r="B876" s="37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  <c r="Q876" s="37"/>
      <c r="R876" s="37"/>
      <c r="S876" s="37"/>
      <c r="T876" s="37"/>
      <c r="U876" s="37"/>
      <c r="V876" s="37"/>
      <c r="W876" s="37"/>
      <c r="X876" s="37"/>
      <c r="Y876" s="37"/>
      <c r="Z876" s="37"/>
    </row>
    <row r="877" spans="1:26" ht="15.75" customHeight="1">
      <c r="A877" s="37"/>
      <c r="B877" s="37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  <c r="Q877" s="37"/>
      <c r="R877" s="37"/>
      <c r="S877" s="37"/>
      <c r="T877" s="37"/>
      <c r="U877" s="37"/>
      <c r="V877" s="37"/>
      <c r="W877" s="37"/>
      <c r="X877" s="37"/>
      <c r="Y877" s="37"/>
      <c r="Z877" s="37"/>
    </row>
    <row r="878" spans="1:26" ht="15.75" customHeight="1">
      <c r="A878" s="37"/>
      <c r="B878" s="37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  <c r="Q878" s="37"/>
      <c r="R878" s="37"/>
      <c r="S878" s="37"/>
      <c r="T878" s="37"/>
      <c r="U878" s="37"/>
      <c r="V878" s="37"/>
      <c r="W878" s="37"/>
      <c r="X878" s="37"/>
      <c r="Y878" s="37"/>
      <c r="Z878" s="37"/>
    </row>
    <row r="879" spans="1:26" ht="15.75" customHeight="1">
      <c r="A879" s="37"/>
      <c r="B879" s="37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  <c r="Q879" s="37"/>
      <c r="R879" s="37"/>
      <c r="S879" s="37"/>
      <c r="T879" s="37"/>
      <c r="U879" s="37"/>
      <c r="V879" s="37"/>
      <c r="W879" s="37"/>
      <c r="X879" s="37"/>
      <c r="Y879" s="37"/>
      <c r="Z879" s="37"/>
    </row>
    <row r="880" spans="1:26" ht="15.75" customHeight="1">
      <c r="A880" s="37"/>
      <c r="B880" s="37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  <c r="Q880" s="37"/>
      <c r="R880" s="37"/>
      <c r="S880" s="37"/>
      <c r="T880" s="37"/>
      <c r="U880" s="37"/>
      <c r="V880" s="37"/>
      <c r="W880" s="37"/>
      <c r="X880" s="37"/>
      <c r="Y880" s="37"/>
      <c r="Z880" s="37"/>
    </row>
    <row r="881" spans="1:26" ht="15.75" customHeight="1">
      <c r="A881" s="37"/>
      <c r="B881" s="37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  <c r="Q881" s="37"/>
      <c r="R881" s="37"/>
      <c r="S881" s="37"/>
      <c r="T881" s="37"/>
      <c r="U881" s="37"/>
      <c r="V881" s="37"/>
      <c r="W881" s="37"/>
      <c r="X881" s="37"/>
      <c r="Y881" s="37"/>
      <c r="Z881" s="37"/>
    </row>
    <row r="882" spans="1:26" ht="15.75" customHeight="1">
      <c r="A882" s="37"/>
      <c r="B882" s="37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  <c r="Q882" s="37"/>
      <c r="R882" s="37"/>
      <c r="S882" s="37"/>
      <c r="T882" s="37"/>
      <c r="U882" s="37"/>
      <c r="V882" s="37"/>
      <c r="W882" s="37"/>
      <c r="X882" s="37"/>
      <c r="Y882" s="37"/>
      <c r="Z882" s="37"/>
    </row>
  </sheetData>
  <sheetProtection sheet="1" objects="1" scenarios="1"/>
  <protectedRanges>
    <protectedRange sqref="C20:D25 C31:D34 C44:D49 C55:D58" name="Intervalo1"/>
  </protectedRanges>
  <mergeCells count="72">
    <mergeCell ref="A14:D14"/>
    <mergeCell ref="A1:D5"/>
    <mergeCell ref="A6:D6"/>
    <mergeCell ref="A7:D7"/>
    <mergeCell ref="A9:D9"/>
    <mergeCell ref="A12:D12"/>
    <mergeCell ref="A16:D16"/>
    <mergeCell ref="A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35:B35"/>
    <mergeCell ref="A27:B28"/>
    <mergeCell ref="C27:C28"/>
    <mergeCell ref="D27:D28"/>
    <mergeCell ref="A29:C29"/>
    <mergeCell ref="A30:B30"/>
    <mergeCell ref="A31:B31"/>
    <mergeCell ref="C31:D31"/>
    <mergeCell ref="A32:B32"/>
    <mergeCell ref="C32:D32"/>
    <mergeCell ref="A33:B33"/>
    <mergeCell ref="A34:B34"/>
    <mergeCell ref="C34:D34"/>
    <mergeCell ref="A36:D36"/>
    <mergeCell ref="A37:D37"/>
    <mergeCell ref="A40:D40"/>
    <mergeCell ref="A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B47"/>
    <mergeCell ref="C47:D47"/>
    <mergeCell ref="A48:B48"/>
    <mergeCell ref="C48:D48"/>
    <mergeCell ref="A49:B49"/>
    <mergeCell ref="C49:D49"/>
    <mergeCell ref="A57:B57"/>
    <mergeCell ref="A50:B50"/>
    <mergeCell ref="C50:D50"/>
    <mergeCell ref="A51:B52"/>
    <mergeCell ref="C51:C52"/>
    <mergeCell ref="D51:D52"/>
    <mergeCell ref="A53:C53"/>
    <mergeCell ref="A54:B54"/>
    <mergeCell ref="A55:B55"/>
    <mergeCell ref="C55:D55"/>
    <mergeCell ref="A56:B56"/>
    <mergeCell ref="C56:D56"/>
    <mergeCell ref="A58:B58"/>
    <mergeCell ref="C58:D58"/>
    <mergeCell ref="A59:B59"/>
    <mergeCell ref="A60:D60"/>
    <mergeCell ref="A61:D61"/>
  </mergeCells>
  <pageMargins left="0.7" right="0.7" top="0.75" bottom="0.75" header="0.51180555555555496" footer="0.51180555555555496"/>
  <pageSetup paperSize="9" scale="74" firstPageNumber="0" fitToWidth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12B44-EA71-49FC-928C-5CED5B2D8D69}">
  <dimension ref="A1:AMJ105"/>
  <sheetViews>
    <sheetView zoomScale="140" zoomScaleNormal="140" workbookViewId="0">
      <selection activeCell="C82" sqref="C82:E82"/>
    </sheetView>
  </sheetViews>
  <sheetFormatPr defaultColWidth="9.140625" defaultRowHeight="16.5"/>
  <cols>
    <col min="1" max="1" width="2.7109375" style="78" customWidth="1"/>
    <col min="2" max="2" width="8.85546875" style="78" customWidth="1"/>
    <col min="3" max="3" width="52.5703125" style="78" customWidth="1"/>
    <col min="4" max="4" width="7.85546875" style="78" customWidth="1"/>
    <col min="5" max="5" width="13.5703125" style="78" customWidth="1"/>
    <col min="6" max="6" width="19.7109375" style="78" customWidth="1"/>
    <col min="7" max="7" width="11.85546875" style="78" customWidth="1"/>
    <col min="8" max="1024" width="9.140625" style="78"/>
  </cols>
  <sheetData>
    <row r="1" spans="2:6" ht="20.25">
      <c r="B1" s="260" t="s">
        <v>65</v>
      </c>
      <c r="C1" s="260"/>
      <c r="D1" s="260"/>
      <c r="E1" s="260"/>
      <c r="F1" s="260"/>
    </row>
    <row r="2" spans="2:6" ht="20.25">
      <c r="B2" s="261" t="s">
        <v>475</v>
      </c>
      <c r="C2" s="261"/>
      <c r="D2" s="261"/>
      <c r="E2" s="138" t="s">
        <v>313</v>
      </c>
      <c r="F2" s="139" t="str">
        <f>DATA_DO_ORCAMENTO_ESTIMATIVO</f>
        <v>XX/XX/20XX</v>
      </c>
    </row>
    <row r="3" spans="2:6" s="79" customFormat="1" ht="25.5">
      <c r="B3" s="262" t="s">
        <v>314</v>
      </c>
      <c r="C3" s="262"/>
      <c r="D3" s="262"/>
      <c r="E3" s="262"/>
      <c r="F3" s="262"/>
    </row>
    <row r="4" spans="2:6" s="79" customFormat="1" ht="15.95" customHeight="1">
      <c r="B4" s="263" t="s">
        <v>5</v>
      </c>
      <c r="C4" s="263"/>
      <c r="D4" s="263"/>
      <c r="E4" s="263"/>
      <c r="F4" s="263"/>
    </row>
    <row r="5" spans="2:6" s="79" customFormat="1" ht="15.95" customHeight="1">
      <c r="B5" s="264" t="s">
        <v>6</v>
      </c>
      <c r="C5" s="264"/>
      <c r="D5" s="265" t="s">
        <v>29</v>
      </c>
      <c r="E5" s="265"/>
      <c r="F5" s="265"/>
    </row>
    <row r="6" spans="2:6" s="79" customFormat="1" ht="15.75" customHeight="1">
      <c r="B6" s="266" t="s">
        <v>7</v>
      </c>
      <c r="C6" s="266"/>
      <c r="D6" s="267" t="str">
        <f>MODALIDADE_DE_LICITACAO</f>
        <v>Pregão nº</v>
      </c>
      <c r="E6" s="267"/>
      <c r="F6" s="151" t="s">
        <v>474</v>
      </c>
    </row>
    <row r="7" spans="2:6" s="79" customFormat="1" ht="15.75" customHeight="1">
      <c r="B7" s="268" t="s">
        <v>315</v>
      </c>
      <c r="C7" s="268"/>
      <c r="D7" s="268"/>
      <c r="E7" s="268"/>
      <c r="F7" s="268"/>
    </row>
    <row r="8" spans="2:6" s="79" customFormat="1" ht="18" customHeight="1">
      <c r="B8" s="165" t="s">
        <v>316</v>
      </c>
      <c r="C8" s="264" t="s">
        <v>317</v>
      </c>
      <c r="D8" s="264"/>
      <c r="E8" s="264"/>
      <c r="F8" s="141" t="str">
        <f>DATA_APRESENTACAO_PROPOSTA</f>
        <v>XX/XX/20XX</v>
      </c>
    </row>
    <row r="9" spans="2:6" s="79" customFormat="1" ht="15.95" customHeight="1">
      <c r="B9" s="166" t="s">
        <v>318</v>
      </c>
      <c r="C9" s="152" t="s">
        <v>319</v>
      </c>
      <c r="D9" s="269" t="s">
        <v>476</v>
      </c>
      <c r="E9" s="269"/>
      <c r="F9" s="269"/>
    </row>
    <row r="10" spans="2:6" s="79" customFormat="1" ht="18.75" customHeight="1">
      <c r="B10" s="165" t="s">
        <v>320</v>
      </c>
      <c r="C10" s="264" t="s">
        <v>321</v>
      </c>
      <c r="D10" s="264"/>
      <c r="E10" s="264"/>
      <c r="F10" s="141" t="s">
        <v>322</v>
      </c>
    </row>
    <row r="11" spans="2:6" s="79" customFormat="1" ht="15.95" customHeight="1">
      <c r="B11" s="166" t="s">
        <v>323</v>
      </c>
      <c r="C11" s="270" t="s">
        <v>324</v>
      </c>
      <c r="D11" s="270"/>
      <c r="E11" s="270"/>
      <c r="F11" s="153">
        <f>NUMERO_MESES_EXEC_CONTRATUAL</f>
        <v>12</v>
      </c>
    </row>
    <row r="12" spans="2:6" s="79" customFormat="1">
      <c r="B12" s="166" t="s">
        <v>325</v>
      </c>
      <c r="C12" s="271" t="s">
        <v>326</v>
      </c>
      <c r="D12" s="271"/>
      <c r="E12" s="271"/>
      <c r="F12" s="140">
        <v>1</v>
      </c>
    </row>
    <row r="13" spans="2:6" s="83" customFormat="1" ht="15" customHeight="1">
      <c r="B13" s="177" t="s">
        <v>327</v>
      </c>
      <c r="C13" s="82"/>
      <c r="D13" s="82"/>
      <c r="E13" s="82"/>
      <c r="F13" s="82"/>
    </row>
    <row r="14" spans="2:6" s="79" customFormat="1">
      <c r="B14" s="165">
        <v>1</v>
      </c>
      <c r="C14" s="264" t="s">
        <v>328</v>
      </c>
      <c r="D14" s="264"/>
      <c r="E14" s="272" t="s">
        <v>329</v>
      </c>
      <c r="F14" s="272"/>
    </row>
    <row r="15" spans="2:6" s="79" customFormat="1">
      <c r="B15" s="165">
        <v>2</v>
      </c>
      <c r="C15" s="154" t="s">
        <v>330</v>
      </c>
      <c r="D15" s="273" t="s">
        <v>331</v>
      </c>
      <c r="E15" s="273"/>
      <c r="F15" s="273"/>
    </row>
    <row r="16" spans="2:6" s="79" customFormat="1" ht="15" customHeight="1">
      <c r="B16" s="165">
        <v>3</v>
      </c>
      <c r="C16" s="142" t="s">
        <v>332</v>
      </c>
      <c r="D16" s="265" t="str">
        <f>IF(CATEGORIA_PROFISSIONAL="","",CATEGORIA_PROFISSIONAL)</f>
        <v/>
      </c>
      <c r="E16" s="265"/>
      <c r="F16" s="265"/>
    </row>
    <row r="17" spans="2:6" s="79" customFormat="1" ht="15" customHeight="1">
      <c r="B17" s="165">
        <v>4</v>
      </c>
      <c r="C17" s="266" t="s">
        <v>333</v>
      </c>
      <c r="D17" s="266"/>
      <c r="E17" s="266"/>
      <c r="F17" s="155">
        <v>44774</v>
      </c>
    </row>
    <row r="18" spans="2:6" s="84" customFormat="1" ht="20.25" customHeight="1">
      <c r="B18" s="274" t="s">
        <v>334</v>
      </c>
      <c r="C18" s="274"/>
      <c r="D18" s="274"/>
      <c r="E18" s="274"/>
      <c r="F18" s="274"/>
    </row>
    <row r="19" spans="2:6">
      <c r="B19" s="294" t="s">
        <v>335</v>
      </c>
      <c r="C19" s="295"/>
      <c r="D19" s="295"/>
      <c r="E19" s="295"/>
      <c r="F19" s="296"/>
    </row>
    <row r="20" spans="2:6">
      <c r="B20" s="178" t="s">
        <v>336</v>
      </c>
      <c r="E20" s="86"/>
      <c r="F20" s="86"/>
    </row>
    <row r="21" spans="2:6" ht="16.5" customHeight="1">
      <c r="B21" s="166">
        <v>1</v>
      </c>
      <c r="C21" s="275" t="s">
        <v>337</v>
      </c>
      <c r="D21" s="275"/>
      <c r="E21" s="275"/>
      <c r="F21" s="167" t="s">
        <v>338</v>
      </c>
    </row>
    <row r="22" spans="2:6" ht="16.350000000000001" customHeight="1">
      <c r="B22" s="166" t="s">
        <v>316</v>
      </c>
      <c r="C22" s="276" t="s">
        <v>339</v>
      </c>
      <c r="D22" s="276"/>
      <c r="E22" s="276"/>
      <c r="F22" s="143">
        <v>1889.51</v>
      </c>
    </row>
    <row r="23" spans="2:6" ht="16.5" customHeight="1">
      <c r="B23" s="166" t="s">
        <v>318</v>
      </c>
      <c r="C23" s="277" t="s">
        <v>340</v>
      </c>
      <c r="D23" s="277"/>
      <c r="E23" s="277"/>
      <c r="F23" s="156">
        <f>30%*AL_1_A_SAL_BASE</f>
        <v>566.85299999999995</v>
      </c>
    </row>
    <row r="24" spans="2:6" ht="15.75" customHeight="1">
      <c r="B24" s="166" t="s">
        <v>320</v>
      </c>
      <c r="C24" s="279" t="s">
        <v>341</v>
      </c>
      <c r="D24" s="279"/>
      <c r="E24" s="279"/>
      <c r="F24" s="143">
        <f>((AL_1_A_SAL_BASE+AL_1_B_ADIC_PERIC)/DIVISOR_DE_HORAS)*DIAS_NA_SEMANA*MEDIA_ANUAL_DIAS_TRABALHO_MES*PERC_ADIC_NOT%</f>
        <v>0</v>
      </c>
    </row>
    <row r="25" spans="2:6" ht="15.75" customHeight="1">
      <c r="B25" s="166" t="s">
        <v>323</v>
      </c>
      <c r="C25" s="277" t="s">
        <v>342</v>
      </c>
      <c r="D25" s="277"/>
      <c r="E25" s="277"/>
      <c r="F25" s="156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166" t="s">
        <v>325</v>
      </c>
      <c r="C26" s="280" t="s">
        <v>343</v>
      </c>
      <c r="D26" s="280"/>
      <c r="E26" s="280"/>
      <c r="F26" s="143">
        <f>PERC_ADIC_INS%*SAL_MINIMO</f>
        <v>0</v>
      </c>
    </row>
    <row r="27" spans="2:6">
      <c r="B27" s="166" t="s">
        <v>344</v>
      </c>
      <c r="C27" s="281" t="str">
        <f>OUTROS_REMUNERACAO_1_DESCRICAO</f>
        <v>Outras Remunerações 1 (Especificar)</v>
      </c>
      <c r="D27" s="281"/>
      <c r="E27" s="281"/>
      <c r="F27" s="156">
        <f>OUTROS_REMUNERACAO_1</f>
        <v>0</v>
      </c>
    </row>
    <row r="28" spans="2:6">
      <c r="B28" s="166" t="s">
        <v>345</v>
      </c>
      <c r="C28" s="276" t="str">
        <f>OUTROS_REMUNERACAO_2_DESCRICAO</f>
        <v>Outras Remunerações 2 (Especificar)</v>
      </c>
      <c r="D28" s="276"/>
      <c r="E28" s="276"/>
      <c r="F28" s="143">
        <f>OUTROS_REMUNERACAO_2</f>
        <v>0</v>
      </c>
    </row>
    <row r="29" spans="2:6">
      <c r="B29" s="166" t="s">
        <v>346</v>
      </c>
      <c r="C29" s="281" t="str">
        <f>OUTROS_REMUNERACAO_3_DESCRICAO</f>
        <v>Outras Remunerações 3 (Especificar)</v>
      </c>
      <c r="D29" s="281"/>
      <c r="E29" s="281"/>
      <c r="F29" s="156">
        <f>OUTROS_REMUNERACAO_3</f>
        <v>0</v>
      </c>
    </row>
    <row r="30" spans="2:6" ht="16.5" customHeight="1">
      <c r="B30" s="275" t="s">
        <v>347</v>
      </c>
      <c r="C30" s="275"/>
      <c r="D30" s="275"/>
      <c r="E30" s="275"/>
      <c r="F30" s="168">
        <f>SUM(F22:F29)</f>
        <v>2456.3629999999998</v>
      </c>
    </row>
    <row r="31" spans="2:6">
      <c r="B31" s="178" t="s">
        <v>348</v>
      </c>
      <c r="E31" s="89"/>
      <c r="F31" s="89"/>
    </row>
    <row r="32" spans="2:6">
      <c r="B32" s="178" t="s">
        <v>349</v>
      </c>
      <c r="C32" s="90"/>
      <c r="D32" s="91"/>
      <c r="E32" s="92"/>
      <c r="F32" s="92"/>
    </row>
    <row r="33" spans="2:6">
      <c r="B33" s="166" t="s">
        <v>350</v>
      </c>
      <c r="C33" s="282" t="s">
        <v>351</v>
      </c>
      <c r="D33" s="282"/>
      <c r="E33" s="167" t="s">
        <v>352</v>
      </c>
      <c r="F33" s="167" t="s">
        <v>338</v>
      </c>
    </row>
    <row r="34" spans="2:6" ht="16.5" customHeight="1">
      <c r="B34" s="166" t="s">
        <v>316</v>
      </c>
      <c r="C34" s="280" t="s">
        <v>353</v>
      </c>
      <c r="D34" s="280"/>
      <c r="E34" s="144">
        <f>PERC_DEC_TERC</f>
        <v>8.3333333333333321</v>
      </c>
      <c r="F34" s="145">
        <f>PERC_DEC_TERC%*MOD_1_REMUNERACAO</f>
        <v>204.6969166666666</v>
      </c>
    </row>
    <row r="35" spans="2:6" s="78" customFormat="1" ht="16.5" customHeight="1">
      <c r="B35" s="167" t="s">
        <v>318</v>
      </c>
      <c r="C35" s="277" t="s">
        <v>354</v>
      </c>
      <c r="D35" s="277"/>
      <c r="E35" s="157">
        <f>PERC_ADIC_FERIAS</f>
        <v>2.7777777777777777</v>
      </c>
      <c r="F35" s="158">
        <f>PERC_ADIC_FERIAS%*MOD_1_REMUNERACAO</f>
        <v>68.232305555555541</v>
      </c>
    </row>
    <row r="36" spans="2:6" s="97" customFormat="1">
      <c r="B36" s="282" t="s">
        <v>347</v>
      </c>
      <c r="C36" s="282"/>
      <c r="D36" s="282"/>
      <c r="E36" s="282"/>
      <c r="F36" s="169">
        <f>SUM(F34:F35)</f>
        <v>272.92922222222217</v>
      </c>
    </row>
    <row r="37" spans="2:6" s="97" customFormat="1" ht="31.5" customHeight="1">
      <c r="B37" s="278" t="s">
        <v>355</v>
      </c>
      <c r="C37" s="278"/>
      <c r="D37" s="278"/>
      <c r="E37" s="278"/>
      <c r="F37" s="278"/>
    </row>
    <row r="38" spans="2:6" s="97" customFormat="1" ht="34.5" customHeight="1">
      <c r="B38" s="166" t="s">
        <v>356</v>
      </c>
      <c r="C38" s="283" t="s">
        <v>357</v>
      </c>
      <c r="D38" s="283"/>
      <c r="E38" s="167" t="s">
        <v>352</v>
      </c>
      <c r="F38" s="167" t="s">
        <v>338</v>
      </c>
    </row>
    <row r="39" spans="2:6" ht="16.5" customHeight="1">
      <c r="B39" s="166" t="s">
        <v>316</v>
      </c>
      <c r="C39" s="280" t="s">
        <v>358</v>
      </c>
      <c r="D39" s="280"/>
      <c r="E39" s="144">
        <f>PERC_INSS</f>
        <v>20</v>
      </c>
      <c r="F39" s="145">
        <f>PERC_INSS%*(MOD_1_REMUNERACAO+SUBMOD_2_1_DEC_TERC_ADIC_FERIAS)</f>
        <v>545.85844444444444</v>
      </c>
    </row>
    <row r="40" spans="2:6" s="79" customFormat="1" ht="16.5" customHeight="1">
      <c r="B40" s="167" t="s">
        <v>318</v>
      </c>
      <c r="C40" s="277" t="s">
        <v>359</v>
      </c>
      <c r="D40" s="277"/>
      <c r="E40" s="159">
        <f>PERC_SAL_EDUCACAO</f>
        <v>2.5</v>
      </c>
      <c r="F40" s="158">
        <f>PERC_SAL_EDUCACAO%*(MOD_1_REMUNERACAO+SUBMOD_2_1_DEC_TERC_ADIC_FERIAS)</f>
        <v>68.232305555555556</v>
      </c>
    </row>
    <row r="41" spans="2:6" s="79" customFormat="1" ht="16.5" customHeight="1">
      <c r="B41" s="167" t="s">
        <v>320</v>
      </c>
      <c r="C41" s="280" t="s">
        <v>360</v>
      </c>
      <c r="D41" s="280"/>
      <c r="E41" s="144">
        <f>PERC_RAT</f>
        <v>3</v>
      </c>
      <c r="F41" s="145">
        <f>PERC_RAT%*(MOD_1_REMUNERACAO+SUBMOD_2_1_DEC_TERC_ADIC_FERIAS)</f>
        <v>81.87876666666665</v>
      </c>
    </row>
    <row r="42" spans="2:6" s="79" customFormat="1" ht="16.5" customHeight="1">
      <c r="B42" s="167" t="s">
        <v>323</v>
      </c>
      <c r="C42" s="277" t="s">
        <v>361</v>
      </c>
      <c r="D42" s="277"/>
      <c r="E42" s="157">
        <f>PERC_SESC</f>
        <v>1.5</v>
      </c>
      <c r="F42" s="158">
        <f>PERC_SESC%*(MOD_1_REMUNERACAO+SUBMOD_2_1_DEC_TERC_ADIC_FERIAS)</f>
        <v>40.939383333333325</v>
      </c>
    </row>
    <row r="43" spans="2:6" s="79" customFormat="1" ht="16.5" customHeight="1">
      <c r="B43" s="167" t="s">
        <v>325</v>
      </c>
      <c r="C43" s="280" t="s">
        <v>362</v>
      </c>
      <c r="D43" s="280"/>
      <c r="E43" s="144">
        <f>PERC_SENAC</f>
        <v>1</v>
      </c>
      <c r="F43" s="145">
        <f>PERC_SENAC%*(MOD_1_REMUNERACAO+SUBMOD_2_1_DEC_TERC_ADIC_FERIAS)</f>
        <v>27.29292222222222</v>
      </c>
    </row>
    <row r="44" spans="2:6" s="79" customFormat="1" ht="16.5" customHeight="1">
      <c r="B44" s="167" t="s">
        <v>344</v>
      </c>
      <c r="C44" s="277" t="s">
        <v>363</v>
      </c>
      <c r="D44" s="277"/>
      <c r="E44" s="159">
        <f>PERC_SEBRAE</f>
        <v>0.6</v>
      </c>
      <c r="F44" s="158">
        <f>PERC_SEBRAE%*(MOD_1_REMUNERACAO+SUBMOD_2_1_DEC_TERC_ADIC_FERIAS)</f>
        <v>16.375753333333332</v>
      </c>
    </row>
    <row r="45" spans="2:6" s="79" customFormat="1" ht="16.5" customHeight="1">
      <c r="B45" s="167" t="s">
        <v>345</v>
      </c>
      <c r="C45" s="280" t="s">
        <v>364</v>
      </c>
      <c r="D45" s="280"/>
      <c r="E45" s="144">
        <f>PERC_INCRA</f>
        <v>0.2</v>
      </c>
      <c r="F45" s="145">
        <f>PERC_INCRA%*(MOD_1_REMUNERACAO+SUBMOD_2_1_DEC_TERC_ADIC_FERIAS)</f>
        <v>5.458584444444444</v>
      </c>
    </row>
    <row r="46" spans="2:6" ht="16.5" customHeight="1">
      <c r="B46" s="167" t="s">
        <v>346</v>
      </c>
      <c r="C46" s="277" t="s">
        <v>365</v>
      </c>
      <c r="D46" s="277"/>
      <c r="E46" s="159">
        <f>PERC_FGTS</f>
        <v>8</v>
      </c>
      <c r="F46" s="158">
        <f>PERC_FGTS%*(MOD_1_REMUNERACAO+SUBMOD_2_1_DEC_TERC_ADIC_FERIAS)</f>
        <v>218.34337777777776</v>
      </c>
    </row>
    <row r="47" spans="2:6">
      <c r="B47" s="282" t="s">
        <v>347</v>
      </c>
      <c r="C47" s="282"/>
      <c r="D47" s="282"/>
      <c r="E47" s="282"/>
      <c r="F47" s="170">
        <f>SUM(F39:F46)</f>
        <v>1004.3795377777777</v>
      </c>
    </row>
    <row r="48" spans="2:6" ht="15.75" customHeight="1">
      <c r="B48" s="178" t="s">
        <v>366</v>
      </c>
      <c r="C48" s="79"/>
      <c r="D48" s="79"/>
      <c r="E48" s="79"/>
      <c r="F48" s="79"/>
    </row>
    <row r="49" spans="2:7" ht="15.75" customHeight="1">
      <c r="B49" s="166" t="s">
        <v>367</v>
      </c>
      <c r="C49" s="275" t="s">
        <v>368</v>
      </c>
      <c r="D49" s="275"/>
      <c r="E49" s="275"/>
      <c r="F49" s="167" t="s">
        <v>338</v>
      </c>
    </row>
    <row r="50" spans="2:7" ht="16.350000000000001" customHeight="1">
      <c r="B50" s="165" t="s">
        <v>316</v>
      </c>
      <c r="C50" s="280" t="s">
        <v>369</v>
      </c>
      <c r="D50" s="280"/>
      <c r="E50" s="280"/>
      <c r="F50" s="145">
        <f>IF(((TRANSPORTE_POR_DIA*DIAS_TRABALHADOS_NO_MES)-(PERC_DESC_TRANSP_REMUNERACAO%*(AL_1_A_SAL_BASE)))&gt;0,((TRANSPORTE_POR_DIA*DIAS_TRABALHADOS_NO_MES)-(PERC_DESC_TRANSP_REMUNERACAO%*(AL_1_A_SAL_BASE))),0)</f>
        <v>62.629400000000004</v>
      </c>
    </row>
    <row r="51" spans="2:7" s="97" customFormat="1" ht="16.5" customHeight="1">
      <c r="B51" s="165" t="s">
        <v>318</v>
      </c>
      <c r="C51" s="277" t="s">
        <v>370</v>
      </c>
      <c r="D51" s="277"/>
      <c r="E51" s="277"/>
      <c r="F51" s="158">
        <v>416.46</v>
      </c>
      <c r="G51" s="99"/>
    </row>
    <row r="52" spans="2:7" s="97" customFormat="1">
      <c r="B52" s="165" t="s">
        <v>320</v>
      </c>
      <c r="C52" s="276" t="str">
        <f>OUTROS_BENEFICIOS_1_DESCRICAO</f>
        <v>Outros Benefícios 1 (Especificar)</v>
      </c>
      <c r="D52" s="276"/>
      <c r="E52" s="276"/>
      <c r="F52" s="145">
        <v>0</v>
      </c>
    </row>
    <row r="53" spans="2:7" s="97" customFormat="1">
      <c r="B53" s="165" t="s">
        <v>323</v>
      </c>
      <c r="C53" s="281" t="str">
        <f>OUTROS_BENEFICIOS_2_DESCRICAO</f>
        <v>Outros Benefícios 2 (Especificar)</v>
      </c>
      <c r="D53" s="281"/>
      <c r="E53" s="281"/>
      <c r="F53" s="158">
        <f>OUTROS_BENEFICIOS_2</f>
        <v>0</v>
      </c>
    </row>
    <row r="54" spans="2:7" s="97" customFormat="1">
      <c r="B54" s="165" t="s">
        <v>325</v>
      </c>
      <c r="C54" s="276" t="str">
        <f>OUTROS_BENEFICIOS_3_DESCRICAO</f>
        <v>Outros Benefícios 3 (Especificar)</v>
      </c>
      <c r="D54" s="276"/>
      <c r="E54" s="276"/>
      <c r="F54" s="145">
        <f>OUTROS_BENEFICIOS_3</f>
        <v>0</v>
      </c>
    </row>
    <row r="55" spans="2:7" s="97" customFormat="1" ht="15" customHeight="1">
      <c r="B55" s="275" t="s">
        <v>347</v>
      </c>
      <c r="C55" s="275"/>
      <c r="D55" s="275"/>
      <c r="E55" s="275"/>
      <c r="F55" s="168">
        <f>SUM(F50:F54)</f>
        <v>479.08939999999996</v>
      </c>
    </row>
    <row r="56" spans="2:7" s="97" customFormat="1">
      <c r="B56" s="178" t="s">
        <v>371</v>
      </c>
      <c r="C56" s="90"/>
      <c r="D56" s="91"/>
      <c r="E56" s="92"/>
      <c r="F56" s="92"/>
    </row>
    <row r="57" spans="2:7" s="97" customFormat="1" ht="15" customHeight="1">
      <c r="B57" s="166">
        <v>3</v>
      </c>
      <c r="C57" s="282" t="s">
        <v>372</v>
      </c>
      <c r="D57" s="282"/>
      <c r="E57" s="167" t="s">
        <v>352</v>
      </c>
      <c r="F57" s="167" t="s">
        <v>338</v>
      </c>
    </row>
    <row r="58" spans="2:7" s="97" customFormat="1">
      <c r="B58" s="166" t="s">
        <v>316</v>
      </c>
      <c r="C58" s="284" t="s">
        <v>373</v>
      </c>
      <c r="D58" s="284"/>
      <c r="E58" s="144">
        <f>PERC_AVISO_PREVIO_IND</f>
        <v>0.29105124999999998</v>
      </c>
      <c r="F58" s="145">
        <f>PERC_AVISO_PREVIO_IND%*(MOD_1_REMUNERACAO+SUBMOD_2_1_DEC_TERC_ADIC_FERIAS+AL_2_2_FGTS+SUBMOD_2_3_BENEFICIOS)</f>
        <v>9.9735259465624981</v>
      </c>
    </row>
    <row r="59" spans="2:7" s="97" customFormat="1">
      <c r="B59" s="167" t="s">
        <v>318</v>
      </c>
      <c r="C59" s="285" t="s">
        <v>374</v>
      </c>
      <c r="D59" s="285"/>
      <c r="E59" s="159">
        <f>PERC_AVISO_PREVIO_TRAB</f>
        <v>1.15572693055556</v>
      </c>
      <c r="F59" s="158">
        <f>PERC_AVISO_PREVIO_TRAB%*(MOD_1_REMUNERACAO+SUBMOD_2_1_DEC_TERC_ADIC_FERIAS+SUBMOD_2_2_GPS_FGTS+SUBMOD_2_3_BENEFICIOS)</f>
        <v>48.688015246104804</v>
      </c>
    </row>
    <row r="60" spans="2:7" s="79" customFormat="1">
      <c r="B60" s="167" t="s">
        <v>320</v>
      </c>
      <c r="C60" s="284" t="s">
        <v>375</v>
      </c>
      <c r="D60" s="284"/>
      <c r="E60" s="144">
        <f>PERC_MULTA_FGTS_AV_PREV_TRAB</f>
        <v>0.04</v>
      </c>
      <c r="F60" s="145">
        <f>PERC_MULTA_FGTS_AV_PREV_TRAB%*(MOD_1_REMUNERACAO+SUBMOD_2_1_DEC_TERC_ADIC_FERIAS)</f>
        <v>1.0917168888888888</v>
      </c>
    </row>
    <row r="61" spans="2:7" s="79" customFormat="1">
      <c r="B61" s="282" t="s">
        <v>347</v>
      </c>
      <c r="C61" s="282"/>
      <c r="D61" s="282"/>
      <c r="E61" s="282"/>
      <c r="F61" s="169">
        <f>SUM(F58:F60)</f>
        <v>59.75325808155619</v>
      </c>
    </row>
    <row r="62" spans="2:7" ht="7.5" customHeight="1">
      <c r="B62" s="100"/>
      <c r="D62" s="101"/>
      <c r="E62" s="86"/>
      <c r="F62" s="86"/>
    </row>
    <row r="63" spans="2:7" s="79" customFormat="1" ht="15.95" customHeight="1">
      <c r="B63" s="178" t="s">
        <v>376</v>
      </c>
      <c r="C63" s="90"/>
      <c r="D63" s="91"/>
      <c r="E63" s="78"/>
      <c r="F63" s="78"/>
    </row>
    <row r="64" spans="2:7" s="79" customFormat="1" ht="15.95" customHeight="1">
      <c r="B64" s="178" t="s">
        <v>377</v>
      </c>
      <c r="C64" s="90"/>
      <c r="D64" s="91"/>
      <c r="E64" s="92"/>
      <c r="F64" s="92"/>
    </row>
    <row r="65" spans="2:6" s="79" customFormat="1" ht="16.5" customHeight="1">
      <c r="B65" s="166" t="s">
        <v>378</v>
      </c>
      <c r="C65" s="275" t="s">
        <v>379</v>
      </c>
      <c r="D65" s="275"/>
      <c r="E65" s="167" t="s">
        <v>352</v>
      </c>
      <c r="F65" s="167" t="s">
        <v>338</v>
      </c>
    </row>
    <row r="66" spans="2:6" s="79" customFormat="1" ht="15.95" customHeight="1">
      <c r="B66" s="167" t="s">
        <v>316</v>
      </c>
      <c r="C66" s="280" t="s">
        <v>380</v>
      </c>
      <c r="D66" s="280"/>
      <c r="E66" s="144">
        <f>PERC_SUBSTITUTO_FERIAS</f>
        <v>8.3333333333333321</v>
      </c>
      <c r="F66" s="145">
        <f>PERC_SUBSTITUTO_FERIAS%*(MOD_1_REMUNERACAO+MOD_2_ENCARGOS_BENEFICIOS+MOD_3_PROVISAO_RESCISAO)</f>
        <v>356.04286817346292</v>
      </c>
    </row>
    <row r="67" spans="2:6" s="79" customFormat="1" ht="15.95" customHeight="1">
      <c r="B67" s="167" t="s">
        <v>318</v>
      </c>
      <c r="C67" s="277" t="s">
        <v>381</v>
      </c>
      <c r="D67" s="277"/>
      <c r="E67" s="159">
        <f>PERC_SUBSTITUTO_AUSENCIAS_LEGAIS</f>
        <v>2.2222222222222223</v>
      </c>
      <c r="F67" s="158">
        <f>PERC_SUBSTITUTO_AUSENCIAS_LEGAIS%*(MOD_1_REMUNERACAO+MOD_2_ENCARGOS_BENEFICIOS+MOD_3_PROVISAO_RESCISAO)</f>
        <v>94.944764846256803</v>
      </c>
    </row>
    <row r="68" spans="2:6" s="79" customFormat="1" ht="15.95" customHeight="1">
      <c r="B68" s="167" t="s">
        <v>320</v>
      </c>
      <c r="C68" s="280" t="s">
        <v>382</v>
      </c>
      <c r="D68" s="280"/>
      <c r="E68" s="144">
        <f>PERC_SUBSTITUTO_LICENCA_PATERNIDADE</f>
        <v>3.5673555555555549E-2</v>
      </c>
      <c r="F68" s="145">
        <f>PERC_SUBSTITUTO_LICENCA_PATERNIDADE%*(MOD_1_REMUNERACAO+MOD_2_ENCARGOS_BENEFICIOS+MOD_3_PROVISAO_RESCISAO)</f>
        <v>1.5241578045534447</v>
      </c>
    </row>
    <row r="69" spans="2:6" s="79" customFormat="1" ht="16.5" customHeight="1">
      <c r="B69" s="167" t="s">
        <v>323</v>
      </c>
      <c r="C69" s="277" t="s">
        <v>383</v>
      </c>
      <c r="D69" s="277"/>
      <c r="E69" s="159">
        <f>PERC_SUBSTITUTO_ACID_TRAB</f>
        <v>1.85302229372558E-2</v>
      </c>
      <c r="F69" s="158">
        <f>PERC_SUBSTITUTO_ACID_TRAB%*(MOD_1_REMUNERACAO+MOD_2_ENCARGOS_BENEFICIOS+MOD_3_PROVISAO_RESCISAO)</f>
        <v>0.79170644669690959</v>
      </c>
    </row>
    <row r="70" spans="2:6" s="79" customFormat="1" ht="16.5" customHeight="1">
      <c r="B70" s="167" t="s">
        <v>325</v>
      </c>
      <c r="C70" s="280" t="s">
        <v>384</v>
      </c>
      <c r="D70" s="280"/>
      <c r="E70" s="144">
        <f>PERC_SUBSTITUTO_AFAST_MATERN</f>
        <v>0.14312918399999999</v>
      </c>
      <c r="F70" s="145">
        <f>PERC_SUBSTITUTO_AFAST_MATERN%*(MOD_1_REMUNERACAO+MOD_2_ENCARGOS_BENEFICIOS+MOD_3_PROVISAO_RESCISAO)</f>
        <v>6.11521502288248</v>
      </c>
    </row>
    <row r="71" spans="2:6" s="79" customFormat="1">
      <c r="B71" s="167" t="s">
        <v>344</v>
      </c>
      <c r="C71" s="287" t="str">
        <f>OUTRAS_AUSENCIAS_DESCRICAO</f>
        <v>Outras Ausências (Especificar - em %)</v>
      </c>
      <c r="D71" s="287"/>
      <c r="E71" s="160">
        <f>PERC_SUBSTITUTO_OUTRAS_AUSENCIAS</f>
        <v>0</v>
      </c>
      <c r="F71" s="158">
        <f>PERC_SUBSTITUTO_OUTRAS_AUSENCIAS%*(MOD_1_REMUNERACAO+MOD_2_ENCARGOS_BENEFICIOS+MOD_3_PROVISAO_RESCISAO)</f>
        <v>0</v>
      </c>
    </row>
    <row r="72" spans="2:6" s="79" customFormat="1">
      <c r="B72" s="282" t="s">
        <v>347</v>
      </c>
      <c r="C72" s="282"/>
      <c r="D72" s="282"/>
      <c r="E72" s="282"/>
      <c r="F72" s="169">
        <f>SUM(F66:F71)</f>
        <v>459.41871229385259</v>
      </c>
    </row>
    <row r="73" spans="2:6" s="79" customFormat="1" ht="15" customHeight="1">
      <c r="B73" s="178" t="s">
        <v>385</v>
      </c>
      <c r="C73" s="90"/>
      <c r="D73" s="91"/>
      <c r="E73" s="92"/>
      <c r="F73" s="92"/>
    </row>
    <row r="74" spans="2:6" s="79" customFormat="1">
      <c r="B74" s="166" t="s">
        <v>386</v>
      </c>
      <c r="C74" s="282" t="s">
        <v>387</v>
      </c>
      <c r="D74" s="282"/>
      <c r="E74" s="282"/>
      <c r="F74" s="167" t="s">
        <v>338</v>
      </c>
    </row>
    <row r="75" spans="2:6" s="79" customFormat="1" ht="16.5" customHeight="1">
      <c r="B75" s="166" t="s">
        <v>316</v>
      </c>
      <c r="C75" s="280" t="s">
        <v>388</v>
      </c>
      <c r="D75" s="280"/>
      <c r="E75" s="280"/>
      <c r="F75" s="143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79" customFormat="1">
      <c r="B76" s="282" t="s">
        <v>347</v>
      </c>
      <c r="C76" s="282"/>
      <c r="D76" s="282"/>
      <c r="E76" s="282"/>
      <c r="F76" s="169">
        <f>SUM(F75)</f>
        <v>0</v>
      </c>
    </row>
    <row r="77" spans="2:6" ht="7.5" customHeight="1">
      <c r="B77" s="100"/>
      <c r="D77" s="101"/>
      <c r="E77" s="86"/>
      <c r="F77" s="86"/>
    </row>
    <row r="78" spans="2:6">
      <c r="B78" s="178" t="s">
        <v>389</v>
      </c>
      <c r="C78" s="90"/>
      <c r="D78" s="90"/>
      <c r="E78" s="92"/>
      <c r="F78" s="92"/>
    </row>
    <row r="79" spans="2:6" ht="15.75" customHeight="1">
      <c r="B79" s="171">
        <v>5</v>
      </c>
      <c r="C79" s="288" t="s">
        <v>390</v>
      </c>
      <c r="D79" s="288"/>
      <c r="E79" s="288"/>
      <c r="F79" s="172" t="s">
        <v>338</v>
      </c>
    </row>
    <row r="80" spans="2:6" ht="16.5" customHeight="1">
      <c r="B80" s="173" t="s">
        <v>316</v>
      </c>
      <c r="C80" s="289" t="s">
        <v>391</v>
      </c>
      <c r="D80" s="289"/>
      <c r="E80" s="289"/>
      <c r="F80" s="146">
        <f>[1]Uniforme!B9</f>
        <v>115.05</v>
      </c>
    </row>
    <row r="81" spans="2:6" ht="16.5" customHeight="1">
      <c r="B81" s="173" t="s">
        <v>318</v>
      </c>
      <c r="C81" s="286" t="s">
        <v>485</v>
      </c>
      <c r="D81" s="286"/>
      <c r="E81" s="286"/>
      <c r="F81" s="161">
        <v>171.6</v>
      </c>
    </row>
    <row r="82" spans="2:6" ht="16.5" customHeight="1">
      <c r="B82" s="173" t="s">
        <v>320</v>
      </c>
      <c r="C82" s="289" t="s">
        <v>484</v>
      </c>
      <c r="D82" s="289"/>
      <c r="E82" s="289"/>
      <c r="F82" s="146">
        <v>235.4</v>
      </c>
    </row>
    <row r="83" spans="2:6" ht="16.350000000000001" customHeight="1">
      <c r="B83" s="173" t="s">
        <v>323</v>
      </c>
      <c r="C83" s="290" t="s">
        <v>394</v>
      </c>
      <c r="D83" s="290"/>
      <c r="E83" s="290"/>
      <c r="F83" s="161">
        <v>0</v>
      </c>
    </row>
    <row r="84" spans="2:6" ht="16.5" customHeight="1">
      <c r="B84" s="288" t="s">
        <v>347</v>
      </c>
      <c r="C84" s="288"/>
      <c r="D84" s="288"/>
      <c r="E84" s="288"/>
      <c r="F84" s="174">
        <f>SUM(F80:F83)</f>
        <v>522.04999999999995</v>
      </c>
    </row>
    <row r="85" spans="2:6" ht="7.5" customHeight="1">
      <c r="B85" s="100"/>
      <c r="D85" s="101"/>
      <c r="E85" s="86"/>
      <c r="F85" s="86"/>
    </row>
    <row r="86" spans="2:6" ht="15" customHeight="1">
      <c r="B86" s="291" t="s">
        <v>395</v>
      </c>
      <c r="C86" s="291"/>
      <c r="D86" s="291"/>
      <c r="E86" s="291"/>
      <c r="F86" s="291"/>
    </row>
    <row r="87" spans="2:6">
      <c r="B87" s="166">
        <v>6</v>
      </c>
      <c r="C87" s="282" t="s">
        <v>396</v>
      </c>
      <c r="D87" s="282"/>
      <c r="E87" s="167" t="s">
        <v>352</v>
      </c>
      <c r="F87" s="167" t="s">
        <v>338</v>
      </c>
    </row>
    <row r="88" spans="2:6" ht="16.5" customHeight="1">
      <c r="B88" s="166" t="s">
        <v>316</v>
      </c>
      <c r="C88" s="280" t="s">
        <v>397</v>
      </c>
      <c r="D88" s="280"/>
      <c r="E88" s="147">
        <f>PERC_CUSTOS_INDIRETOS</f>
        <v>5.1533333333333298</v>
      </c>
      <c r="F88" s="145">
        <f>PERC_CUSTOS_INDIRETOS%*(MOD_1_REMUNERACAO+MOD_2_ENCARGOS_BENEFICIOS+MOD_3_PROVISAO_RESCISAO+MOD_4_CUSTO_REPOSICAO+MOD_5_INSUMOS)</f>
        <v>270.75526398534589</v>
      </c>
    </row>
    <row r="89" spans="2:6" ht="15.75" customHeight="1">
      <c r="B89" s="167" t="s">
        <v>318</v>
      </c>
      <c r="C89" s="277" t="s">
        <v>398</v>
      </c>
      <c r="D89" s="277"/>
      <c r="E89" s="162">
        <f>PERC_LUCRO</f>
        <v>5.0466666666666704</v>
      </c>
      <c r="F89" s="158">
        <f>PERC_LUCRO%*(MOD_1_REMUNERACAO+MOD_2_ENCARGOS_BENEFICIOS+MOD_3_PROVISAO_RESCISAO+MOD_4_CUSTO_REPOSICAO+MOD_5_INSUMOS+AL_6_A_CUSTOS_INDIRETOS)</f>
        <v>278.8151309687396</v>
      </c>
    </row>
    <row r="90" spans="2:6" ht="16.5" customHeight="1">
      <c r="B90" s="167" t="s">
        <v>320</v>
      </c>
      <c r="C90" s="280" t="s">
        <v>399</v>
      </c>
      <c r="D90" s="280"/>
      <c r="E90" s="148">
        <f>SUM(E91:E93)</f>
        <v>8.6499999999999994E-2</v>
      </c>
      <c r="F90" s="145">
        <f>SUM(F91:F93)</f>
        <v>522.91143396732696</v>
      </c>
    </row>
    <row r="91" spans="2:6" ht="15.75" customHeight="1">
      <c r="B91" s="175" t="s">
        <v>400</v>
      </c>
      <c r="C91" s="297" t="s">
        <v>21</v>
      </c>
      <c r="D91" s="297"/>
      <c r="E91" s="163">
        <v>6.4999999999999997E-3</v>
      </c>
      <c r="F91" s="164">
        <f>(($F$30+$F$36+$F$47+$F$55+$F$61+$F$72+$F$76+$F$84+$F$88+$F$89)*E91)/(1-E91)</f>
        <v>37.969902279458189</v>
      </c>
    </row>
    <row r="92" spans="2:6" ht="16.5" customHeight="1">
      <c r="B92" s="175" t="s">
        <v>401</v>
      </c>
      <c r="C92" s="298" t="s">
        <v>402</v>
      </c>
      <c r="D92" s="298"/>
      <c r="E92" s="150">
        <v>0.03</v>
      </c>
      <c r="F92" s="149">
        <f>(($F$30+$F$36+$F$47+$F$55+$F$61+$F$72+$F$76+$F$84+$F$88+$F$89)*E92)/(1-E92)</f>
        <v>179.49134614421118</v>
      </c>
    </row>
    <row r="93" spans="2:6" s="102" customFormat="1" ht="16.5" customHeight="1">
      <c r="B93" s="175" t="s">
        <v>403</v>
      </c>
      <c r="C93" s="297" t="s">
        <v>404</v>
      </c>
      <c r="D93" s="297"/>
      <c r="E93" s="163">
        <v>0.05</v>
      </c>
      <c r="F93" s="164">
        <f>(($F$30+$F$36+$F$47+$F$55+$F$61+$F$72+$F$76+$F$84+$F$88+$F$89)*E93)/(1-E93)</f>
        <v>305.45018554365765</v>
      </c>
    </row>
    <row r="94" spans="2:6" s="102" customFormat="1">
      <c r="B94" s="282" t="s">
        <v>347</v>
      </c>
      <c r="C94" s="282"/>
      <c r="D94" s="282"/>
      <c r="E94" s="282"/>
      <c r="F94" s="176">
        <f>AL_6_A_CUSTOS_INDIRETOS+AL_6_B_LUCRO+AL_6_C_TRIBUTOS</f>
        <v>1072.4818289214124</v>
      </c>
    </row>
    <row r="95" spans="2:6" s="102" customFormat="1" ht="20.25">
      <c r="B95" s="179" t="s">
        <v>405</v>
      </c>
      <c r="C95" s="103"/>
      <c r="D95" s="103"/>
      <c r="E95" s="103"/>
      <c r="F95" s="104"/>
    </row>
    <row r="96" spans="2:6" s="105" customFormat="1" ht="16.5" customHeight="1">
      <c r="B96" s="167" t="s">
        <v>406</v>
      </c>
      <c r="C96" s="275" t="s">
        <v>407</v>
      </c>
      <c r="D96" s="275"/>
      <c r="E96" s="275"/>
      <c r="F96" s="167" t="s">
        <v>408</v>
      </c>
    </row>
    <row r="97" spans="2:6" s="102" customFormat="1" ht="16.5" customHeight="1">
      <c r="B97" s="166">
        <v>1</v>
      </c>
      <c r="C97" s="280" t="s">
        <v>337</v>
      </c>
      <c r="D97" s="280"/>
      <c r="E97" s="280"/>
      <c r="F97" s="145">
        <f>MOD_1_REMUNERACAO</f>
        <v>2456.3629999999998</v>
      </c>
    </row>
    <row r="98" spans="2:6" s="106" customFormat="1" ht="16.5" customHeight="1">
      <c r="B98" s="167">
        <v>2</v>
      </c>
      <c r="C98" s="277" t="s">
        <v>409</v>
      </c>
      <c r="D98" s="277"/>
      <c r="E98" s="277"/>
      <c r="F98" s="158">
        <f>MOD_2_ENCARGOS_BENEFICIOS</f>
        <v>1756.3981599999997</v>
      </c>
    </row>
    <row r="99" spans="2:6" s="106" customFormat="1" ht="16.5" customHeight="1">
      <c r="B99" s="167">
        <v>3</v>
      </c>
      <c r="C99" s="280" t="s">
        <v>372</v>
      </c>
      <c r="D99" s="280"/>
      <c r="E99" s="280"/>
      <c r="F99" s="145">
        <f>MOD_3_PROVISAO_RESCISAO</f>
        <v>59.75325808155619</v>
      </c>
    </row>
    <row r="100" spans="2:6" s="106" customFormat="1" ht="16.5" customHeight="1">
      <c r="B100" s="167">
        <v>4</v>
      </c>
      <c r="C100" s="277" t="s">
        <v>410</v>
      </c>
      <c r="D100" s="277"/>
      <c r="E100" s="277"/>
      <c r="F100" s="158">
        <f>MOD_4_CUSTO_REPOSICAO</f>
        <v>459.41871229385259</v>
      </c>
    </row>
    <row r="101" spans="2:6" s="106" customFormat="1" ht="16.5" customHeight="1">
      <c r="B101" s="167">
        <v>5</v>
      </c>
      <c r="C101" s="280" t="s">
        <v>390</v>
      </c>
      <c r="D101" s="280"/>
      <c r="E101" s="280"/>
      <c r="F101" s="145">
        <f>MOD_5_INSUMOS</f>
        <v>522.04999999999995</v>
      </c>
    </row>
    <row r="102" spans="2:6" s="106" customFormat="1" ht="16.5" customHeight="1">
      <c r="B102" s="167">
        <v>6</v>
      </c>
      <c r="C102" s="277" t="s">
        <v>396</v>
      </c>
      <c r="D102" s="277"/>
      <c r="E102" s="277"/>
      <c r="F102" s="158">
        <f>MOD_6_CUSTOS_IND_LUCRO_TRIB</f>
        <v>1072.4818289214124</v>
      </c>
    </row>
    <row r="103" spans="2:6" ht="16.5" customHeight="1">
      <c r="B103" s="292" t="s">
        <v>411</v>
      </c>
      <c r="C103" s="292"/>
      <c r="D103" s="292"/>
      <c r="E103" s="292"/>
      <c r="F103" s="180">
        <f>SUM(F97:F102)</f>
        <v>6326.4649592968217</v>
      </c>
    </row>
    <row r="104" spans="2:6" ht="16.5" customHeight="1">
      <c r="B104" s="293" t="s">
        <v>412</v>
      </c>
      <c r="C104" s="293"/>
      <c r="D104" s="293"/>
      <c r="E104" s="293"/>
      <c r="F104" s="120">
        <f>VALOR_TOTAL_EMPREGADO*EMPREG_POR_POSTO</f>
        <v>0</v>
      </c>
    </row>
    <row r="105" spans="2:6" ht="16.5" customHeight="1">
      <c r="B105" s="293" t="s">
        <v>413</v>
      </c>
      <c r="C105" s="293"/>
      <c r="D105" s="293"/>
      <c r="E105" s="293"/>
      <c r="F105" s="120">
        <f>VALOR_TOTAL_EMPREGADO*EMPREG_POR_POSTO*QTDE_POSTOS</f>
        <v>0</v>
      </c>
    </row>
  </sheetData>
  <sheetProtection sheet="1" objects="1" scenarios="1"/>
  <mergeCells count="94">
    <mergeCell ref="C102:E102"/>
    <mergeCell ref="B103:E103"/>
    <mergeCell ref="B104:E104"/>
    <mergeCell ref="B105:E105"/>
    <mergeCell ref="B19:F19"/>
    <mergeCell ref="C96:E96"/>
    <mergeCell ref="C97:E97"/>
    <mergeCell ref="C98:E98"/>
    <mergeCell ref="C99:E99"/>
    <mergeCell ref="C100:E100"/>
    <mergeCell ref="C101:E101"/>
    <mergeCell ref="C89:D89"/>
    <mergeCell ref="C90:D90"/>
    <mergeCell ref="C91:D91"/>
    <mergeCell ref="C92:D92"/>
    <mergeCell ref="C93:D93"/>
    <mergeCell ref="B94:E94"/>
    <mergeCell ref="C82:E82"/>
    <mergeCell ref="C83:E83"/>
    <mergeCell ref="B84:E84"/>
    <mergeCell ref="B86:F86"/>
    <mergeCell ref="C87:D87"/>
    <mergeCell ref="C88:D88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17:E17"/>
    <mergeCell ref="B18:F18"/>
    <mergeCell ref="C21:E21"/>
    <mergeCell ref="C22:E22"/>
    <mergeCell ref="C23:E23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B1:F1"/>
    <mergeCell ref="B2:D2"/>
    <mergeCell ref="B3:F3"/>
    <mergeCell ref="B4:F4"/>
    <mergeCell ref="B5:C5"/>
    <mergeCell ref="D5:F5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A65F5-92A2-45B2-AB27-598C485045BD}">
  <dimension ref="A1:AMJ106"/>
  <sheetViews>
    <sheetView showGridLines="0" zoomScale="140" zoomScaleNormal="140" workbookViewId="0">
      <selection activeCell="H101" sqref="H101"/>
    </sheetView>
  </sheetViews>
  <sheetFormatPr defaultColWidth="9.140625" defaultRowHeight="16.5"/>
  <cols>
    <col min="1" max="1" width="2.7109375" style="78" customWidth="1"/>
    <col min="2" max="2" width="8.85546875" style="78" customWidth="1"/>
    <col min="3" max="3" width="52.5703125" style="78" customWidth="1"/>
    <col min="4" max="4" width="7.85546875" style="78" customWidth="1"/>
    <col min="5" max="5" width="13.5703125" style="78" customWidth="1"/>
    <col min="6" max="6" width="19.7109375" style="78" customWidth="1"/>
    <col min="7" max="7" width="11.85546875" style="78" customWidth="1"/>
    <col min="8" max="1024" width="9.140625" style="78"/>
  </cols>
  <sheetData>
    <row r="1" spans="2:6" customFormat="1" ht="20.25">
      <c r="B1" s="325" t="s">
        <v>65</v>
      </c>
      <c r="C1" s="326"/>
      <c r="D1" s="326"/>
      <c r="E1" s="326"/>
      <c r="F1" s="327"/>
    </row>
    <row r="2" spans="2:6" customFormat="1" ht="20.25">
      <c r="B2" s="261" t="s">
        <v>475</v>
      </c>
      <c r="C2" s="261"/>
      <c r="D2" s="261"/>
      <c r="E2" s="138" t="s">
        <v>313</v>
      </c>
      <c r="F2" s="122" t="str">
        <f>DATA_DO_ORCAMENTO_ESTIMATIVO</f>
        <v>XX/XX/20XX</v>
      </c>
    </row>
    <row r="3" spans="2:6" s="79" customFormat="1" ht="25.5">
      <c r="B3" s="262" t="s">
        <v>314</v>
      </c>
      <c r="C3" s="262"/>
      <c r="D3" s="262"/>
      <c r="E3" s="262"/>
      <c r="F3" s="262"/>
    </row>
    <row r="4" spans="2:6" s="79" customFormat="1" ht="15.95" customHeight="1">
      <c r="B4" s="263" t="s">
        <v>5</v>
      </c>
      <c r="C4" s="263"/>
      <c r="D4" s="263"/>
      <c r="E4" s="263"/>
      <c r="F4" s="263"/>
    </row>
    <row r="5" spans="2:6" s="79" customFormat="1" ht="15.95" customHeight="1">
      <c r="B5" s="264" t="s">
        <v>6</v>
      </c>
      <c r="C5" s="264"/>
      <c r="D5" s="265" t="s">
        <v>29</v>
      </c>
      <c r="E5" s="265"/>
      <c r="F5" s="265"/>
    </row>
    <row r="6" spans="2:6" s="79" customFormat="1" ht="15.75" customHeight="1">
      <c r="B6" s="266" t="s">
        <v>7</v>
      </c>
      <c r="C6" s="266"/>
      <c r="D6" s="267" t="str">
        <f>MODALIDADE_DE_LICITACAO</f>
        <v>Pregão nº</v>
      </c>
      <c r="E6" s="267"/>
      <c r="F6" s="151" t="s">
        <v>474</v>
      </c>
    </row>
    <row r="7" spans="2:6" s="79" customFormat="1" ht="15.75" customHeight="1">
      <c r="B7" s="268" t="s">
        <v>315</v>
      </c>
      <c r="C7" s="268"/>
      <c r="D7" s="268"/>
      <c r="E7" s="268"/>
      <c r="F7" s="268"/>
    </row>
    <row r="8" spans="2:6" s="79" customFormat="1" ht="18" customHeight="1">
      <c r="B8" s="182" t="s">
        <v>316</v>
      </c>
      <c r="C8" s="264" t="s">
        <v>317</v>
      </c>
      <c r="D8" s="264"/>
      <c r="E8" s="264"/>
      <c r="F8" s="121" t="str">
        <f>DATA_APRESENTACAO_PROPOSTA</f>
        <v>XX/XX/20XX</v>
      </c>
    </row>
    <row r="9" spans="2:6" s="79" customFormat="1" ht="15.95" customHeight="1">
      <c r="B9" s="183" t="s">
        <v>318</v>
      </c>
      <c r="C9" s="152" t="s">
        <v>319</v>
      </c>
      <c r="D9" s="269" t="s">
        <v>476</v>
      </c>
      <c r="E9" s="269"/>
      <c r="F9" s="269"/>
    </row>
    <row r="10" spans="2:6" s="79" customFormat="1" ht="18.75" customHeight="1">
      <c r="B10" s="182" t="s">
        <v>320</v>
      </c>
      <c r="C10" s="264" t="s">
        <v>321</v>
      </c>
      <c r="D10" s="264"/>
      <c r="E10" s="264"/>
      <c r="F10" s="121" t="s">
        <v>322</v>
      </c>
    </row>
    <row r="11" spans="2:6" s="79" customFormat="1" ht="15.95" customHeight="1">
      <c r="B11" s="183" t="s">
        <v>323</v>
      </c>
      <c r="C11" s="270" t="s">
        <v>324</v>
      </c>
      <c r="D11" s="270"/>
      <c r="E11" s="270"/>
      <c r="F11" s="153">
        <f>NUMERO_MESES_EXEC_CONTRATUAL</f>
        <v>12</v>
      </c>
    </row>
    <row r="12" spans="2:6" s="79" customFormat="1">
      <c r="B12" s="183" t="s">
        <v>325</v>
      </c>
      <c r="C12" s="271" t="s">
        <v>326</v>
      </c>
      <c r="D12" s="271"/>
      <c r="E12" s="271"/>
      <c r="F12" s="140">
        <v>1</v>
      </c>
    </row>
    <row r="13" spans="2:6" s="83" customFormat="1" ht="15" customHeight="1">
      <c r="B13" s="177" t="s">
        <v>327</v>
      </c>
      <c r="C13" s="82"/>
      <c r="D13" s="82"/>
      <c r="E13" s="82"/>
      <c r="F13" s="82"/>
    </row>
    <row r="14" spans="2:6" s="79" customFormat="1">
      <c r="B14" s="182">
        <v>1</v>
      </c>
      <c r="C14" s="264" t="s">
        <v>328</v>
      </c>
      <c r="D14" s="264"/>
      <c r="E14" s="272" t="s">
        <v>329</v>
      </c>
      <c r="F14" s="272"/>
    </row>
    <row r="15" spans="2:6" s="79" customFormat="1">
      <c r="B15" s="182">
        <v>2</v>
      </c>
      <c r="C15" s="154" t="s">
        <v>330</v>
      </c>
      <c r="D15" s="273" t="s">
        <v>331</v>
      </c>
      <c r="E15" s="273"/>
      <c r="F15" s="273"/>
    </row>
    <row r="16" spans="2:6" s="79" customFormat="1" ht="15" customHeight="1">
      <c r="B16" s="182">
        <v>3</v>
      </c>
      <c r="C16" s="142" t="s">
        <v>332</v>
      </c>
      <c r="D16" s="265" t="str">
        <f>IF(CATEGORIA_PROFISSIONAL="","",CATEGORIA_PROFISSIONAL)</f>
        <v/>
      </c>
      <c r="E16" s="265"/>
      <c r="F16" s="265"/>
    </row>
    <row r="17" spans="2:6" s="79" customFormat="1" ht="15" customHeight="1">
      <c r="B17" s="182">
        <v>4</v>
      </c>
      <c r="C17" s="266" t="s">
        <v>333</v>
      </c>
      <c r="D17" s="266"/>
      <c r="E17" s="266"/>
      <c r="F17" s="181">
        <v>44774</v>
      </c>
    </row>
    <row r="18" spans="2:6" s="84" customFormat="1" ht="20.25" customHeight="1">
      <c r="B18" s="274" t="s">
        <v>334</v>
      </c>
      <c r="C18" s="274"/>
      <c r="D18" s="274"/>
      <c r="E18" s="274"/>
      <c r="F18" s="274"/>
    </row>
    <row r="19" spans="2:6" customFormat="1">
      <c r="B19" s="322" t="s">
        <v>335</v>
      </c>
      <c r="C19" s="323"/>
      <c r="D19" s="323"/>
      <c r="E19" s="323"/>
      <c r="F19" s="324"/>
    </row>
    <row r="20" spans="2:6" customFormat="1">
      <c r="B20" s="178" t="s">
        <v>336</v>
      </c>
      <c r="C20" s="78"/>
      <c r="D20" s="78"/>
      <c r="E20" s="86"/>
      <c r="F20" s="86"/>
    </row>
    <row r="21" spans="2:6" customFormat="1" ht="16.5" customHeight="1">
      <c r="B21" s="183">
        <v>1</v>
      </c>
      <c r="C21" s="319" t="s">
        <v>337</v>
      </c>
      <c r="D21" s="320"/>
      <c r="E21" s="321"/>
      <c r="F21" s="184" t="s">
        <v>338</v>
      </c>
    </row>
    <row r="22" spans="2:6" customFormat="1" ht="16.350000000000001" customHeight="1">
      <c r="B22" s="183" t="s">
        <v>316</v>
      </c>
      <c r="C22" s="310" t="s">
        <v>339</v>
      </c>
      <c r="D22" s="311"/>
      <c r="E22" s="312"/>
      <c r="F22" s="123"/>
    </row>
    <row r="23" spans="2:6" customFormat="1" ht="16.5" customHeight="1">
      <c r="B23" s="183" t="s">
        <v>318</v>
      </c>
      <c r="C23" s="316" t="s">
        <v>340</v>
      </c>
      <c r="D23" s="317"/>
      <c r="E23" s="318"/>
      <c r="F23" s="124"/>
    </row>
    <row r="24" spans="2:6" customFormat="1" ht="15.75" customHeight="1">
      <c r="B24" s="183" t="s">
        <v>320</v>
      </c>
      <c r="C24" s="313" t="s">
        <v>341</v>
      </c>
      <c r="D24" s="314"/>
      <c r="E24" s="315"/>
      <c r="F24" s="123"/>
    </row>
    <row r="25" spans="2:6" customFormat="1" ht="15.75" customHeight="1">
      <c r="B25" s="183" t="s">
        <v>323</v>
      </c>
      <c r="C25" s="316" t="s">
        <v>342</v>
      </c>
      <c r="D25" s="317"/>
      <c r="E25" s="318"/>
      <c r="F25" s="124"/>
    </row>
    <row r="26" spans="2:6" customFormat="1" ht="15.75" customHeight="1">
      <c r="B26" s="183" t="s">
        <v>325</v>
      </c>
      <c r="C26" s="304" t="s">
        <v>343</v>
      </c>
      <c r="D26" s="305"/>
      <c r="E26" s="306"/>
      <c r="F26" s="123"/>
    </row>
    <row r="27" spans="2:6" customFormat="1">
      <c r="B27" s="183" t="s">
        <v>344</v>
      </c>
      <c r="C27" s="307" t="str">
        <f>OUTROS_REMUNERACAO_1_DESCRICAO</f>
        <v>Outras Remunerações 1 (Especificar)</v>
      </c>
      <c r="D27" s="308"/>
      <c r="E27" s="309"/>
      <c r="F27" s="124"/>
    </row>
    <row r="28" spans="2:6" customFormat="1">
      <c r="B28" s="183" t="s">
        <v>345</v>
      </c>
      <c r="C28" s="310" t="str">
        <f>OUTROS_REMUNERACAO_2_DESCRICAO</f>
        <v>Outras Remunerações 2 (Especificar)</v>
      </c>
      <c r="D28" s="311"/>
      <c r="E28" s="312"/>
      <c r="F28" s="123"/>
    </row>
    <row r="29" spans="2:6" customFormat="1">
      <c r="B29" s="183" t="s">
        <v>346</v>
      </c>
      <c r="C29" s="307" t="str">
        <f>OUTROS_REMUNERACAO_3_DESCRICAO</f>
        <v>Outras Remunerações 3 (Especificar)</v>
      </c>
      <c r="D29" s="308"/>
      <c r="E29" s="309"/>
      <c r="F29" s="124"/>
    </row>
    <row r="30" spans="2:6" customFormat="1" ht="16.5" customHeight="1">
      <c r="B30" s="301" t="s">
        <v>347</v>
      </c>
      <c r="C30" s="301"/>
      <c r="D30" s="301"/>
      <c r="E30" s="301"/>
      <c r="F30" s="196"/>
    </row>
    <row r="31" spans="2:6" customFormat="1">
      <c r="B31" s="178" t="s">
        <v>348</v>
      </c>
      <c r="C31" s="78"/>
      <c r="D31" s="78"/>
      <c r="E31" s="89"/>
      <c r="F31" s="89"/>
    </row>
    <row r="32" spans="2:6" customFormat="1">
      <c r="B32" s="178" t="s">
        <v>349</v>
      </c>
      <c r="C32" s="90"/>
      <c r="D32" s="91"/>
      <c r="E32" s="92"/>
      <c r="F32" s="92"/>
    </row>
    <row r="33" spans="2:6" customFormat="1">
      <c r="B33" s="183" t="s">
        <v>350</v>
      </c>
      <c r="C33" s="300" t="s">
        <v>351</v>
      </c>
      <c r="D33" s="300"/>
      <c r="E33" s="184" t="s">
        <v>352</v>
      </c>
      <c r="F33" s="184" t="s">
        <v>338</v>
      </c>
    </row>
    <row r="34" spans="2:6" customFormat="1" ht="16.5" customHeight="1">
      <c r="B34" s="183" t="s">
        <v>316</v>
      </c>
      <c r="C34" s="280" t="s">
        <v>353</v>
      </c>
      <c r="D34" s="280"/>
      <c r="E34" s="144">
        <f>PERC_DEC_TERC</f>
        <v>8.3333333333333304</v>
      </c>
      <c r="F34" s="125"/>
    </row>
    <row r="35" spans="2:6" s="78" customFormat="1" ht="16.5" customHeight="1">
      <c r="B35" s="184" t="s">
        <v>318</v>
      </c>
      <c r="C35" s="277" t="s">
        <v>354</v>
      </c>
      <c r="D35" s="277"/>
      <c r="E35" s="157">
        <f>PERC_ADIC_FERIAS</f>
        <v>2.7777777777777799</v>
      </c>
      <c r="F35" s="126"/>
    </row>
    <row r="36" spans="2:6" s="97" customFormat="1">
      <c r="B36" s="300" t="s">
        <v>347</v>
      </c>
      <c r="C36" s="300"/>
      <c r="D36" s="300"/>
      <c r="E36" s="300"/>
      <c r="F36" s="198"/>
    </row>
    <row r="37" spans="2:6" s="97" customFormat="1" ht="31.5" customHeight="1">
      <c r="B37" s="278" t="s">
        <v>355</v>
      </c>
      <c r="C37" s="278"/>
      <c r="D37" s="278"/>
      <c r="E37" s="278"/>
      <c r="F37" s="278"/>
    </row>
    <row r="38" spans="2:6" s="97" customFormat="1" ht="34.5" customHeight="1">
      <c r="B38" s="183" t="s">
        <v>356</v>
      </c>
      <c r="C38" s="303" t="s">
        <v>357</v>
      </c>
      <c r="D38" s="303"/>
      <c r="E38" s="184" t="s">
        <v>352</v>
      </c>
      <c r="F38" s="184" t="s">
        <v>338</v>
      </c>
    </row>
    <row r="39" spans="2:6" customFormat="1" ht="16.5" customHeight="1">
      <c r="B39" s="183" t="s">
        <v>316</v>
      </c>
      <c r="C39" s="280" t="s">
        <v>358</v>
      </c>
      <c r="D39" s="280"/>
      <c r="E39" s="127">
        <f>PERC_INSS</f>
        <v>20</v>
      </c>
      <c r="F39" s="125"/>
    </row>
    <row r="40" spans="2:6" s="79" customFormat="1" ht="16.5" customHeight="1">
      <c r="B40" s="184" t="s">
        <v>318</v>
      </c>
      <c r="C40" s="277" t="s">
        <v>359</v>
      </c>
      <c r="D40" s="277"/>
      <c r="E40" s="128">
        <f>PERC_SAL_EDUCACAO</f>
        <v>2.5</v>
      </c>
      <c r="F40" s="126"/>
    </row>
    <row r="41" spans="2:6" s="79" customFormat="1" ht="16.5" customHeight="1">
      <c r="B41" s="184" t="s">
        <v>320</v>
      </c>
      <c r="C41" s="280" t="s">
        <v>360</v>
      </c>
      <c r="D41" s="280"/>
      <c r="E41" s="127">
        <f>PERC_RAT</f>
        <v>3</v>
      </c>
      <c r="F41" s="125"/>
    </row>
    <row r="42" spans="2:6" s="79" customFormat="1" ht="16.5" customHeight="1">
      <c r="B42" s="184" t="s">
        <v>323</v>
      </c>
      <c r="C42" s="277" t="s">
        <v>361</v>
      </c>
      <c r="D42" s="277"/>
      <c r="E42" s="129">
        <f>PERC_SESC</f>
        <v>1.5</v>
      </c>
      <c r="F42" s="126"/>
    </row>
    <row r="43" spans="2:6" s="79" customFormat="1" ht="16.5" customHeight="1">
      <c r="B43" s="184" t="s">
        <v>325</v>
      </c>
      <c r="C43" s="280" t="s">
        <v>362</v>
      </c>
      <c r="D43" s="280"/>
      <c r="E43" s="127">
        <f>PERC_SENAC</f>
        <v>1</v>
      </c>
      <c r="F43" s="125"/>
    </row>
    <row r="44" spans="2:6" s="79" customFormat="1" ht="16.5" customHeight="1">
      <c r="B44" s="184" t="s">
        <v>344</v>
      </c>
      <c r="C44" s="277" t="s">
        <v>363</v>
      </c>
      <c r="D44" s="277"/>
      <c r="E44" s="128">
        <f>PERC_SEBRAE</f>
        <v>0.6</v>
      </c>
      <c r="F44" s="126"/>
    </row>
    <row r="45" spans="2:6" s="79" customFormat="1" ht="16.5" customHeight="1">
      <c r="B45" s="184" t="s">
        <v>345</v>
      </c>
      <c r="C45" s="280" t="s">
        <v>364</v>
      </c>
      <c r="D45" s="280"/>
      <c r="E45" s="127">
        <f>PERC_INCRA</f>
        <v>0.2</v>
      </c>
      <c r="F45" s="125"/>
    </row>
    <row r="46" spans="2:6" customFormat="1" ht="16.5" customHeight="1">
      <c r="B46" s="184" t="s">
        <v>346</v>
      </c>
      <c r="C46" s="277" t="s">
        <v>365</v>
      </c>
      <c r="D46" s="277"/>
      <c r="E46" s="128">
        <f>PERC_FGTS</f>
        <v>8</v>
      </c>
      <c r="F46" s="126"/>
    </row>
    <row r="47" spans="2:6" customFormat="1">
      <c r="B47" s="300" t="s">
        <v>347</v>
      </c>
      <c r="C47" s="300"/>
      <c r="D47" s="300"/>
      <c r="E47" s="300"/>
      <c r="F47" s="197"/>
    </row>
    <row r="48" spans="2:6" customFormat="1" ht="15.75" customHeight="1">
      <c r="B48" s="178" t="s">
        <v>366</v>
      </c>
      <c r="C48" s="79"/>
      <c r="D48" s="79"/>
      <c r="E48" s="79"/>
      <c r="F48" s="79"/>
    </row>
    <row r="49" spans="2:7" customFormat="1" ht="15.75" customHeight="1">
      <c r="B49" s="183" t="s">
        <v>367</v>
      </c>
      <c r="C49" s="301" t="s">
        <v>368</v>
      </c>
      <c r="D49" s="301"/>
      <c r="E49" s="301"/>
      <c r="F49" s="184" t="s">
        <v>338</v>
      </c>
      <c r="G49" s="78"/>
    </row>
    <row r="50" spans="2:7" customFormat="1" ht="16.350000000000001" customHeight="1">
      <c r="B50" s="182" t="s">
        <v>316</v>
      </c>
      <c r="C50" s="280" t="s">
        <v>369</v>
      </c>
      <c r="D50" s="280"/>
      <c r="E50" s="280"/>
      <c r="F50" s="125"/>
      <c r="G50" s="78"/>
    </row>
    <row r="51" spans="2:7" s="97" customFormat="1" ht="16.5" customHeight="1">
      <c r="B51" s="182" t="s">
        <v>318</v>
      </c>
      <c r="C51" s="277" t="s">
        <v>370</v>
      </c>
      <c r="D51" s="277"/>
      <c r="E51" s="277"/>
      <c r="F51" s="126"/>
      <c r="G51" s="99"/>
    </row>
    <row r="52" spans="2:7" s="97" customFormat="1">
      <c r="B52" s="182" t="s">
        <v>320</v>
      </c>
      <c r="C52" s="276" t="str">
        <f>OUTROS_BENEFICIOS_1_DESCRICAO</f>
        <v>Outros Benefícios 1 (Especificar)</v>
      </c>
      <c r="D52" s="276"/>
      <c r="E52" s="276"/>
      <c r="F52" s="125"/>
    </row>
    <row r="53" spans="2:7" s="97" customFormat="1">
      <c r="B53" s="182" t="s">
        <v>323</v>
      </c>
      <c r="C53" s="281" t="str">
        <f>OUTROS_BENEFICIOS_2_DESCRICAO</f>
        <v>Outros Benefícios 2 (Especificar)</v>
      </c>
      <c r="D53" s="281"/>
      <c r="E53" s="281"/>
      <c r="F53" s="126"/>
    </row>
    <row r="54" spans="2:7" s="97" customFormat="1">
      <c r="B54" s="182" t="s">
        <v>325</v>
      </c>
      <c r="C54" s="276" t="str">
        <f>OUTROS_BENEFICIOS_3_DESCRICAO</f>
        <v>Outros Benefícios 3 (Especificar)</v>
      </c>
      <c r="D54" s="276"/>
      <c r="E54" s="276"/>
      <c r="F54" s="125"/>
    </row>
    <row r="55" spans="2:7" s="97" customFormat="1" ht="15" customHeight="1">
      <c r="B55" s="301" t="s">
        <v>347</v>
      </c>
      <c r="C55" s="301"/>
      <c r="D55" s="301"/>
      <c r="E55" s="301"/>
      <c r="F55" s="196"/>
    </row>
    <row r="56" spans="2:7" s="97" customFormat="1">
      <c r="B56" s="178" t="s">
        <v>371</v>
      </c>
      <c r="C56" s="90"/>
      <c r="D56" s="91"/>
      <c r="E56" s="92"/>
      <c r="F56" s="92"/>
    </row>
    <row r="57" spans="2:7" s="97" customFormat="1" ht="15" customHeight="1">
      <c r="B57" s="183">
        <v>3</v>
      </c>
      <c r="C57" s="300" t="s">
        <v>372</v>
      </c>
      <c r="D57" s="300"/>
      <c r="E57" s="184" t="s">
        <v>352</v>
      </c>
      <c r="F57" s="184" t="s">
        <v>338</v>
      </c>
    </row>
    <row r="58" spans="2:7" s="97" customFormat="1">
      <c r="B58" s="183" t="s">
        <v>316</v>
      </c>
      <c r="C58" s="284" t="s">
        <v>373</v>
      </c>
      <c r="D58" s="284"/>
      <c r="E58" s="127">
        <f>PERC_AVISO_PREVIO_IND</f>
        <v>0.29105124999999998</v>
      </c>
      <c r="F58" s="125"/>
    </row>
    <row r="59" spans="2:7" s="97" customFormat="1">
      <c r="B59" s="184" t="s">
        <v>318</v>
      </c>
      <c r="C59" s="285" t="s">
        <v>374</v>
      </c>
      <c r="D59" s="285"/>
      <c r="E59" s="128">
        <f>PERC_AVISO_PREVIO_TRAB</f>
        <v>1.15572693055556</v>
      </c>
      <c r="F59" s="126"/>
    </row>
    <row r="60" spans="2:7" s="79" customFormat="1">
      <c r="B60" s="184" t="s">
        <v>320</v>
      </c>
      <c r="C60" s="284" t="s">
        <v>375</v>
      </c>
      <c r="D60" s="284"/>
      <c r="E60" s="127">
        <f>PERC_MULTA_FGTS_AV_PREV_TRAB</f>
        <v>0.04</v>
      </c>
      <c r="F60" s="125"/>
    </row>
    <row r="61" spans="2:7" s="79" customFormat="1">
      <c r="B61" s="300" t="s">
        <v>347</v>
      </c>
      <c r="C61" s="300"/>
      <c r="D61" s="300"/>
      <c r="E61" s="300"/>
      <c r="F61" s="198"/>
    </row>
    <row r="62" spans="2:7" customFormat="1" ht="7.5" customHeight="1">
      <c r="B62" s="100"/>
      <c r="C62" s="78"/>
      <c r="D62" s="101"/>
      <c r="E62" s="86"/>
      <c r="F62" s="86"/>
      <c r="G62" s="78"/>
    </row>
    <row r="63" spans="2:7" s="79" customFormat="1" ht="15.95" customHeight="1">
      <c r="B63" s="178" t="s">
        <v>376</v>
      </c>
      <c r="C63" s="90"/>
      <c r="D63" s="91"/>
      <c r="E63" s="78"/>
      <c r="F63" s="78"/>
    </row>
    <row r="64" spans="2:7" s="79" customFormat="1" ht="15.95" customHeight="1">
      <c r="B64" s="178" t="s">
        <v>377</v>
      </c>
      <c r="C64" s="90"/>
      <c r="D64" s="91"/>
      <c r="E64" s="92"/>
      <c r="F64" s="92"/>
    </row>
    <row r="65" spans="2:6" s="79" customFormat="1" ht="16.5" customHeight="1">
      <c r="B65" s="183" t="s">
        <v>378</v>
      </c>
      <c r="C65" s="301" t="s">
        <v>379</v>
      </c>
      <c r="D65" s="301"/>
      <c r="E65" s="184" t="s">
        <v>352</v>
      </c>
      <c r="F65" s="184" t="s">
        <v>338</v>
      </c>
    </row>
    <row r="66" spans="2:6" s="79" customFormat="1" ht="15.95" customHeight="1">
      <c r="B66" s="184" t="s">
        <v>316</v>
      </c>
      <c r="C66" s="280" t="s">
        <v>380</v>
      </c>
      <c r="D66" s="280"/>
      <c r="E66" s="144">
        <f>PERC_SUBSTITUTO_FERIAS</f>
        <v>8.3333333333333304</v>
      </c>
      <c r="F66" s="125"/>
    </row>
    <row r="67" spans="2:6" s="79" customFormat="1" ht="15.95" customHeight="1">
      <c r="B67" s="184" t="s">
        <v>318</v>
      </c>
      <c r="C67" s="277" t="s">
        <v>381</v>
      </c>
      <c r="D67" s="277"/>
      <c r="E67" s="128">
        <f>PERC_SUBSTITUTO_AUSENCIAS_LEGAIS</f>
        <v>2.2222222222222201</v>
      </c>
      <c r="F67" s="126"/>
    </row>
    <row r="68" spans="2:6" s="79" customFormat="1" ht="15.95" customHeight="1">
      <c r="B68" s="184" t="s">
        <v>320</v>
      </c>
      <c r="C68" s="280" t="s">
        <v>382</v>
      </c>
      <c r="D68" s="280"/>
      <c r="E68" s="127">
        <f>PERC_SUBSTITUTO_LICENCA_PATERNIDADE</f>
        <v>3.56735555555555E-2</v>
      </c>
      <c r="F68" s="125"/>
    </row>
    <row r="69" spans="2:6" s="79" customFormat="1" ht="16.5" customHeight="1">
      <c r="B69" s="184" t="s">
        <v>323</v>
      </c>
      <c r="C69" s="277" t="s">
        <v>383</v>
      </c>
      <c r="D69" s="277"/>
      <c r="E69" s="128">
        <f>PERC_SUBSTITUTO_ACID_TRAB</f>
        <v>1.85302229372558E-2</v>
      </c>
      <c r="F69" s="126"/>
    </row>
    <row r="70" spans="2:6" s="79" customFormat="1" ht="16.5" customHeight="1">
      <c r="B70" s="184" t="s">
        <v>325</v>
      </c>
      <c r="C70" s="280" t="s">
        <v>384</v>
      </c>
      <c r="D70" s="280"/>
      <c r="E70" s="127">
        <f>PERC_SUBSTITUTO_AFAST_MATERN</f>
        <v>0.14312918399999999</v>
      </c>
      <c r="F70" s="125"/>
    </row>
    <row r="71" spans="2:6" s="79" customFormat="1">
      <c r="B71" s="184" t="s">
        <v>344</v>
      </c>
      <c r="C71" s="287" t="str">
        <f>OUTRAS_AUSENCIAS_DESCRICAO</f>
        <v>Outras Ausências (Especificar - em %)</v>
      </c>
      <c r="D71" s="287"/>
      <c r="E71" s="130">
        <f>PERC_SUBSTITUTO_OUTRAS_AUSENCIAS</f>
        <v>0</v>
      </c>
      <c r="F71" s="126"/>
    </row>
    <row r="72" spans="2:6" s="79" customFormat="1">
      <c r="B72" s="300" t="s">
        <v>347</v>
      </c>
      <c r="C72" s="300"/>
      <c r="D72" s="300"/>
      <c r="E72" s="300"/>
      <c r="F72" s="198"/>
    </row>
    <row r="73" spans="2:6" s="79" customFormat="1" ht="15" customHeight="1">
      <c r="B73" s="178" t="s">
        <v>385</v>
      </c>
      <c r="C73" s="90"/>
      <c r="D73" s="91"/>
      <c r="E73" s="92"/>
      <c r="F73" s="92"/>
    </row>
    <row r="74" spans="2:6" s="79" customFormat="1">
      <c r="B74" s="183" t="s">
        <v>386</v>
      </c>
      <c r="C74" s="300" t="s">
        <v>387</v>
      </c>
      <c r="D74" s="300"/>
      <c r="E74" s="300"/>
      <c r="F74" s="184" t="s">
        <v>338</v>
      </c>
    </row>
    <row r="75" spans="2:6" s="79" customFormat="1" ht="16.5" customHeight="1">
      <c r="B75" s="183" t="s">
        <v>316</v>
      </c>
      <c r="C75" s="280" t="s">
        <v>388</v>
      </c>
      <c r="D75" s="280"/>
      <c r="E75" s="280"/>
      <c r="F75" s="123"/>
    </row>
    <row r="76" spans="2:6" s="79" customFormat="1">
      <c r="B76" s="300" t="s">
        <v>347</v>
      </c>
      <c r="C76" s="300"/>
      <c r="D76" s="300"/>
      <c r="E76" s="300"/>
      <c r="F76" s="198"/>
    </row>
    <row r="77" spans="2:6" customFormat="1" ht="7.5" customHeight="1">
      <c r="B77" s="100"/>
      <c r="C77" s="78"/>
      <c r="D77" s="101"/>
      <c r="E77" s="86"/>
      <c r="F77" s="86"/>
    </row>
    <row r="78" spans="2:6" customFormat="1">
      <c r="B78" s="178" t="s">
        <v>389</v>
      </c>
      <c r="C78" s="90"/>
      <c r="D78" s="90"/>
      <c r="E78" s="92"/>
      <c r="F78" s="92"/>
    </row>
    <row r="79" spans="2:6" customFormat="1" ht="15.75" customHeight="1">
      <c r="B79" s="185">
        <v>5</v>
      </c>
      <c r="C79" s="302" t="s">
        <v>390</v>
      </c>
      <c r="D79" s="302"/>
      <c r="E79" s="302"/>
      <c r="F79" s="186" t="s">
        <v>338</v>
      </c>
    </row>
    <row r="80" spans="2:6" customFormat="1" ht="16.5" customHeight="1">
      <c r="B80" s="187" t="s">
        <v>316</v>
      </c>
      <c r="C80" s="289" t="s">
        <v>391</v>
      </c>
      <c r="D80" s="289"/>
      <c r="E80" s="289"/>
      <c r="F80" s="131"/>
    </row>
    <row r="81" spans="2:6" customFormat="1" ht="16.5" customHeight="1">
      <c r="B81" s="187" t="s">
        <v>318</v>
      </c>
      <c r="C81" s="286" t="s">
        <v>392</v>
      </c>
      <c r="D81" s="286"/>
      <c r="E81" s="286"/>
      <c r="F81" s="132"/>
    </row>
    <row r="82" spans="2:6" customFormat="1" ht="16.5" customHeight="1">
      <c r="B82" s="187" t="s">
        <v>320</v>
      </c>
      <c r="C82" s="289" t="s">
        <v>393</v>
      </c>
      <c r="D82" s="289"/>
      <c r="E82" s="289"/>
      <c r="F82" s="131"/>
    </row>
    <row r="83" spans="2:6" customFormat="1" ht="16.350000000000001" customHeight="1">
      <c r="B83" s="187" t="s">
        <v>323</v>
      </c>
      <c r="C83" s="290" t="s">
        <v>394</v>
      </c>
      <c r="D83" s="290"/>
      <c r="E83" s="290"/>
      <c r="F83" s="132"/>
    </row>
    <row r="84" spans="2:6" customFormat="1" ht="16.5" customHeight="1">
      <c r="B84" s="302" t="s">
        <v>347</v>
      </c>
      <c r="C84" s="302"/>
      <c r="D84" s="302"/>
      <c r="E84" s="302"/>
      <c r="F84" s="199"/>
    </row>
    <row r="85" spans="2:6" customFormat="1" ht="7.5" customHeight="1">
      <c r="B85" s="100"/>
      <c r="C85" s="78"/>
      <c r="D85" s="101"/>
      <c r="E85" s="86"/>
      <c r="F85" s="86"/>
    </row>
    <row r="86" spans="2:6" customFormat="1" ht="15" customHeight="1">
      <c r="B86" s="291" t="s">
        <v>395</v>
      </c>
      <c r="C86" s="291"/>
      <c r="D86" s="291"/>
      <c r="E86" s="291"/>
      <c r="F86" s="291"/>
    </row>
    <row r="87" spans="2:6" customFormat="1">
      <c r="B87" s="183">
        <v>6</v>
      </c>
      <c r="C87" s="300" t="s">
        <v>396</v>
      </c>
      <c r="D87" s="300"/>
      <c r="E87" s="184" t="s">
        <v>352</v>
      </c>
      <c r="F87" s="184" t="s">
        <v>338</v>
      </c>
    </row>
    <row r="88" spans="2:6" customFormat="1" ht="16.5" customHeight="1">
      <c r="B88" s="183" t="s">
        <v>316</v>
      </c>
      <c r="C88" s="280" t="s">
        <v>397</v>
      </c>
      <c r="D88" s="280"/>
      <c r="E88" s="350">
        <f>'Cálculo do BDI'!C20+'Cálculo do BDI'!C21+'Cálculo do BDI'!C22+'Cálculo do BDI'!C23</f>
        <v>5.1500000000000004E-2</v>
      </c>
      <c r="F88" s="125"/>
    </row>
    <row r="89" spans="2:6" customFormat="1" ht="15.75" customHeight="1">
      <c r="B89" s="184" t="s">
        <v>318</v>
      </c>
      <c r="C89" s="277" t="s">
        <v>398</v>
      </c>
      <c r="D89" s="277"/>
      <c r="E89" s="351">
        <f>'Cálculo do BDI'!C24</f>
        <v>5.0500000000000003E-2</v>
      </c>
      <c r="F89" s="126"/>
    </row>
    <row r="90" spans="2:6" customFormat="1" ht="16.5" customHeight="1">
      <c r="B90" s="184" t="s">
        <v>320</v>
      </c>
      <c r="C90" s="280" t="s">
        <v>399</v>
      </c>
      <c r="D90" s="280"/>
      <c r="E90" s="133">
        <f>SUM(E91:E94)</f>
        <v>8.6499999999999994E-2</v>
      </c>
      <c r="F90" s="125"/>
    </row>
    <row r="91" spans="2:6" customFormat="1" ht="15.75" customHeight="1">
      <c r="B91" s="188" t="s">
        <v>400</v>
      </c>
      <c r="C91" s="297" t="s">
        <v>21</v>
      </c>
      <c r="D91" s="297"/>
      <c r="E91" s="134">
        <v>6.4999999999999997E-3</v>
      </c>
      <c r="F91" s="135"/>
    </row>
    <row r="92" spans="2:6" customFormat="1" ht="16.5" customHeight="1">
      <c r="B92" s="188" t="s">
        <v>401</v>
      </c>
      <c r="C92" s="298" t="s">
        <v>402</v>
      </c>
      <c r="D92" s="298"/>
      <c r="E92" s="136">
        <v>0.03</v>
      </c>
      <c r="F92" s="137"/>
    </row>
    <row r="93" spans="2:6" s="102" customFormat="1" ht="16.5" customHeight="1">
      <c r="B93" s="188" t="s">
        <v>403</v>
      </c>
      <c r="C93" s="297" t="s">
        <v>404</v>
      </c>
      <c r="D93" s="297"/>
      <c r="E93" s="134">
        <v>0.05</v>
      </c>
      <c r="F93" s="135"/>
    </row>
    <row r="94" spans="2:6" s="102" customFormat="1" ht="16.5" customHeight="1">
      <c r="B94" s="188" t="s">
        <v>477</v>
      </c>
      <c r="C94" s="298" t="s">
        <v>478</v>
      </c>
      <c r="D94" s="298"/>
      <c r="E94" s="136"/>
      <c r="F94" s="137"/>
    </row>
    <row r="95" spans="2:6" s="102" customFormat="1">
      <c r="B95" s="300" t="s">
        <v>347</v>
      </c>
      <c r="C95" s="300"/>
      <c r="D95" s="300"/>
      <c r="E95" s="300"/>
      <c r="F95" s="200"/>
    </row>
    <row r="96" spans="2:6" s="102" customFormat="1" ht="20.25">
      <c r="B96" s="179" t="s">
        <v>405</v>
      </c>
      <c r="C96" s="103"/>
      <c r="D96" s="103"/>
      <c r="E96" s="103"/>
      <c r="F96" s="104"/>
    </row>
    <row r="97" spans="2:6" s="105" customFormat="1" ht="16.5" customHeight="1">
      <c r="B97" s="184" t="s">
        <v>406</v>
      </c>
      <c r="C97" s="301" t="s">
        <v>407</v>
      </c>
      <c r="D97" s="301"/>
      <c r="E97" s="301"/>
      <c r="F97" s="184" t="s">
        <v>408</v>
      </c>
    </row>
    <row r="98" spans="2:6" s="102" customFormat="1" ht="16.5" customHeight="1">
      <c r="B98" s="183">
        <v>1</v>
      </c>
      <c r="C98" s="280" t="s">
        <v>337</v>
      </c>
      <c r="D98" s="280"/>
      <c r="E98" s="280"/>
      <c r="F98" s="125"/>
    </row>
    <row r="99" spans="2:6" s="106" customFormat="1" ht="16.5" customHeight="1">
      <c r="B99" s="184">
        <v>2</v>
      </c>
      <c r="C99" s="277" t="s">
        <v>409</v>
      </c>
      <c r="D99" s="277"/>
      <c r="E99" s="277"/>
      <c r="F99" s="126"/>
    </row>
    <row r="100" spans="2:6" s="106" customFormat="1" ht="16.5" customHeight="1">
      <c r="B100" s="184">
        <v>3</v>
      </c>
      <c r="C100" s="280" t="s">
        <v>372</v>
      </c>
      <c r="D100" s="280"/>
      <c r="E100" s="280"/>
      <c r="F100" s="125"/>
    </row>
    <row r="101" spans="2:6" s="106" customFormat="1" ht="16.5" customHeight="1">
      <c r="B101" s="184">
        <v>4</v>
      </c>
      <c r="C101" s="277" t="s">
        <v>410</v>
      </c>
      <c r="D101" s="277"/>
      <c r="E101" s="277"/>
      <c r="F101" s="126"/>
    </row>
    <row r="102" spans="2:6" s="106" customFormat="1" ht="16.5" customHeight="1">
      <c r="B102" s="184">
        <v>5</v>
      </c>
      <c r="C102" s="280" t="s">
        <v>390</v>
      </c>
      <c r="D102" s="280"/>
      <c r="E102" s="280"/>
      <c r="F102" s="125"/>
    </row>
    <row r="103" spans="2:6" s="106" customFormat="1" ht="16.5" customHeight="1">
      <c r="B103" s="184">
        <v>6</v>
      </c>
      <c r="C103" s="277" t="s">
        <v>396</v>
      </c>
      <c r="D103" s="277"/>
      <c r="E103" s="277"/>
      <c r="F103" s="126"/>
    </row>
    <row r="104" spans="2:6" customFormat="1" ht="16.5" customHeight="1">
      <c r="B104" s="299" t="s">
        <v>411</v>
      </c>
      <c r="C104" s="299"/>
      <c r="D104" s="299"/>
      <c r="E104" s="299"/>
      <c r="F104" s="201"/>
    </row>
    <row r="105" spans="2:6" customFormat="1" ht="16.5" customHeight="1">
      <c r="B105" s="293" t="s">
        <v>412</v>
      </c>
      <c r="C105" s="293"/>
      <c r="D105" s="293"/>
      <c r="E105" s="293"/>
      <c r="F105" s="120">
        <f>VALOR_TOTAL_EMPREGADO*EMPREG_POR_POSTO</f>
        <v>0</v>
      </c>
    </row>
    <row r="106" spans="2:6" customFormat="1" ht="16.5" customHeight="1">
      <c r="B106" s="293" t="s">
        <v>413</v>
      </c>
      <c r="C106" s="293"/>
      <c r="D106" s="293"/>
      <c r="E106" s="293"/>
      <c r="F106" s="120">
        <f>VALOR_TOTAL_EMPREGADO*EMPREG_POR_POSTO*QTDE_POSTOS</f>
        <v>0</v>
      </c>
    </row>
  </sheetData>
  <sheetProtection sheet="1" objects="1" scenarios="1"/>
  <protectedRanges>
    <protectedRange sqref="E90 F2 F8 F10 F22:F30 F34:F36 E39:F46 F47 F50:F55 E58:F60 F61 F66:F72 E67:E71 F75:F76 F80:F84 F88:F95 E90:E94 F98:F104" name="Intervalo1"/>
  </protectedRanges>
  <mergeCells count="95">
    <mergeCell ref="B6:C6"/>
    <mergeCell ref="D6:E6"/>
    <mergeCell ref="B7:F7"/>
    <mergeCell ref="B1:F1"/>
    <mergeCell ref="B2:D2"/>
    <mergeCell ref="B3:F3"/>
    <mergeCell ref="B4:F4"/>
    <mergeCell ref="B5:C5"/>
    <mergeCell ref="D5:F5"/>
    <mergeCell ref="C8:E8"/>
    <mergeCell ref="D9:F9"/>
    <mergeCell ref="C21:E21"/>
    <mergeCell ref="C22:E22"/>
    <mergeCell ref="C23:E23"/>
    <mergeCell ref="B19:F19"/>
    <mergeCell ref="C10:E10"/>
    <mergeCell ref="C11:E11"/>
    <mergeCell ref="C12:E12"/>
    <mergeCell ref="C14:D14"/>
    <mergeCell ref="E14:F14"/>
    <mergeCell ref="C24:E24"/>
    <mergeCell ref="C25:E25"/>
    <mergeCell ref="D15:F15"/>
    <mergeCell ref="D16:F16"/>
    <mergeCell ref="C17:E17"/>
    <mergeCell ref="B18:F18"/>
    <mergeCell ref="C33:D33"/>
    <mergeCell ref="C34:D34"/>
    <mergeCell ref="C35:D35"/>
    <mergeCell ref="B36:E36"/>
    <mergeCell ref="B37:F37"/>
    <mergeCell ref="C26:E26"/>
    <mergeCell ref="C27:E27"/>
    <mergeCell ref="C28:E28"/>
    <mergeCell ref="C29:E29"/>
    <mergeCell ref="B30:E30"/>
    <mergeCell ref="C43:D43"/>
    <mergeCell ref="C44:D44"/>
    <mergeCell ref="C45:D45"/>
    <mergeCell ref="C46:D46"/>
    <mergeCell ref="B47:E47"/>
    <mergeCell ref="C38:D38"/>
    <mergeCell ref="C39:D39"/>
    <mergeCell ref="C40:D40"/>
    <mergeCell ref="C41:D41"/>
    <mergeCell ref="C42:D42"/>
    <mergeCell ref="C54:E54"/>
    <mergeCell ref="B55:E55"/>
    <mergeCell ref="C57:D57"/>
    <mergeCell ref="C58:D58"/>
    <mergeCell ref="C59:D59"/>
    <mergeCell ref="C49:E49"/>
    <mergeCell ref="C50:E50"/>
    <mergeCell ref="C51:E51"/>
    <mergeCell ref="C52:E52"/>
    <mergeCell ref="C53:E53"/>
    <mergeCell ref="C68:D68"/>
    <mergeCell ref="C69:D69"/>
    <mergeCell ref="C70:D70"/>
    <mergeCell ref="C71:D71"/>
    <mergeCell ref="B72:E72"/>
    <mergeCell ref="C60:D60"/>
    <mergeCell ref="B61:E61"/>
    <mergeCell ref="C65:D65"/>
    <mergeCell ref="C66:D66"/>
    <mergeCell ref="C67:D67"/>
    <mergeCell ref="C81:E81"/>
    <mergeCell ref="C82:E82"/>
    <mergeCell ref="C83:E83"/>
    <mergeCell ref="B84:E84"/>
    <mergeCell ref="B86:F86"/>
    <mergeCell ref="C74:E74"/>
    <mergeCell ref="C75:E75"/>
    <mergeCell ref="B76:E76"/>
    <mergeCell ref="C79:E79"/>
    <mergeCell ref="C80:E80"/>
    <mergeCell ref="C92:D92"/>
    <mergeCell ref="C93:D93"/>
    <mergeCell ref="B95:E95"/>
    <mergeCell ref="C97:E97"/>
    <mergeCell ref="C98:E98"/>
    <mergeCell ref="C94:D94"/>
    <mergeCell ref="C87:D87"/>
    <mergeCell ref="C88:D88"/>
    <mergeCell ref="C89:D89"/>
    <mergeCell ref="C90:D90"/>
    <mergeCell ref="C91:D91"/>
    <mergeCell ref="B104:E104"/>
    <mergeCell ref="B105:E105"/>
    <mergeCell ref="B106:E106"/>
    <mergeCell ref="C99:E99"/>
    <mergeCell ref="C100:E100"/>
    <mergeCell ref="C101:E101"/>
    <mergeCell ref="C102:E102"/>
    <mergeCell ref="C103:E103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A99D6-643C-41E9-BCCE-EBDABA870E32}">
  <dimension ref="A1:D9"/>
  <sheetViews>
    <sheetView zoomScale="140" zoomScaleNormal="140" workbookViewId="0">
      <selection activeCell="F4" sqref="F4"/>
    </sheetView>
  </sheetViews>
  <sheetFormatPr defaultColWidth="11.5703125" defaultRowHeight="12.75"/>
  <cols>
    <col min="1" max="1" width="50.7109375" customWidth="1"/>
    <col min="2" max="3" width="13.140625" customWidth="1"/>
  </cols>
  <sheetData>
    <row r="1" spans="1:4" ht="16.5">
      <c r="A1" s="328" t="s">
        <v>462</v>
      </c>
      <c r="B1" s="328"/>
      <c r="C1" s="328"/>
      <c r="D1" s="328"/>
    </row>
    <row r="2" spans="1:4" ht="16.5">
      <c r="A2" s="189" t="s">
        <v>463</v>
      </c>
      <c r="B2" s="190" t="s">
        <v>464</v>
      </c>
      <c r="C2" s="190" t="s">
        <v>465</v>
      </c>
      <c r="D2" s="190" t="s">
        <v>466</v>
      </c>
    </row>
    <row r="3" spans="1:4" ht="49.5">
      <c r="A3" s="191" t="s">
        <v>467</v>
      </c>
      <c r="B3" s="192"/>
      <c r="C3" s="192">
        <f>5*32.44*2/12</f>
        <v>27.033333333333331</v>
      </c>
      <c r="D3" s="192"/>
    </row>
    <row r="4" spans="1:4" ht="66">
      <c r="A4" s="193" t="s">
        <v>468</v>
      </c>
      <c r="B4" s="194"/>
      <c r="C4" s="194"/>
      <c r="D4" s="194">
        <f>61.34/12</f>
        <v>5.1116666666666672</v>
      </c>
    </row>
    <row r="5" spans="1:4" ht="66">
      <c r="A5" s="191" t="s">
        <v>469</v>
      </c>
      <c r="B5" s="192"/>
      <c r="C5" s="192">
        <f>4*69.67*2/12</f>
        <v>46.446666666666665</v>
      </c>
      <c r="D5" s="192"/>
    </row>
    <row r="6" spans="1:4" ht="49.5">
      <c r="A6" s="193" t="s">
        <v>470</v>
      </c>
      <c r="B6" s="194"/>
      <c r="C6" s="194"/>
      <c r="D6" s="194">
        <f>67.9/12</f>
        <v>5.6583333333333341</v>
      </c>
    </row>
    <row r="7" spans="1:4" ht="16.5">
      <c r="A7" s="191" t="s">
        <v>471</v>
      </c>
      <c r="B7" s="192"/>
      <c r="C7" s="192">
        <f>55.94*2*2/12</f>
        <v>18.646666666666665</v>
      </c>
      <c r="D7" s="192"/>
    </row>
    <row r="8" spans="1:4" ht="33">
      <c r="A8" s="193" t="s">
        <v>472</v>
      </c>
      <c r="B8" s="194"/>
      <c r="C8" s="194">
        <f>14.58*5*2/12</f>
        <v>12.15</v>
      </c>
      <c r="D8" s="194"/>
    </row>
    <row r="9" spans="1:4" ht="16.5">
      <c r="A9" s="195" t="s">
        <v>473</v>
      </c>
      <c r="B9" s="329">
        <v>115.05</v>
      </c>
      <c r="C9" s="329"/>
      <c r="D9" s="329"/>
    </row>
  </sheetData>
  <sheetProtection sheet="1" objects="1" scenarios="1"/>
  <mergeCells count="2">
    <mergeCell ref="A1:D1"/>
    <mergeCell ref="B9:D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137ED-13C3-4910-BB84-2BC5932991EF}">
  <dimension ref="A1:G126"/>
  <sheetViews>
    <sheetView showGridLines="0" workbookViewId="0">
      <selection activeCell="F126" sqref="F126"/>
    </sheetView>
  </sheetViews>
  <sheetFormatPr defaultRowHeight="12.75"/>
  <cols>
    <col min="1" max="1" width="8.85546875" style="46" customWidth="1"/>
    <col min="2" max="2" width="67.5703125" style="47" customWidth="1"/>
    <col min="3" max="3" width="9.85546875" style="46" customWidth="1"/>
    <col min="4" max="4" width="13.28515625" style="46" customWidth="1"/>
    <col min="5" max="5" width="15.140625" style="46" customWidth="1"/>
    <col min="6" max="6" width="17.140625" style="46" customWidth="1"/>
    <col min="7" max="7" width="19.28515625" style="46" customWidth="1"/>
    <col min="8" max="16384" width="9.140625" style="46"/>
  </cols>
  <sheetData>
    <row r="1" spans="1:7" ht="18">
      <c r="A1" s="330" t="s">
        <v>308</v>
      </c>
      <c r="B1" s="330"/>
      <c r="C1" s="330"/>
      <c r="D1" s="330"/>
      <c r="E1" s="330"/>
      <c r="F1" s="330"/>
      <c r="G1" s="330"/>
    </row>
    <row r="2" spans="1:7">
      <c r="A2" s="331" t="s">
        <v>254</v>
      </c>
      <c r="B2" s="331"/>
      <c r="C2" s="331"/>
      <c r="D2" s="331"/>
      <c r="E2" s="331"/>
      <c r="F2" s="331"/>
      <c r="G2" s="331"/>
    </row>
    <row r="3" spans="1:7" ht="23.85" customHeight="1">
      <c r="A3" s="65" t="s">
        <v>23</v>
      </c>
      <c r="B3" s="65" t="s">
        <v>22</v>
      </c>
      <c r="C3" s="65" t="s">
        <v>24</v>
      </c>
      <c r="D3" s="65" t="s">
        <v>128</v>
      </c>
      <c r="E3" s="65" t="s">
        <v>261</v>
      </c>
      <c r="F3" s="65" t="s">
        <v>262</v>
      </c>
      <c r="G3" s="65" t="s">
        <v>127</v>
      </c>
    </row>
    <row r="4" spans="1:7" ht="20.45" customHeight="1">
      <c r="A4" s="56">
        <v>1</v>
      </c>
      <c r="B4" s="57" t="s">
        <v>291</v>
      </c>
      <c r="C4" s="56" t="s">
        <v>24</v>
      </c>
      <c r="D4" s="56">
        <v>20</v>
      </c>
      <c r="E4" s="58">
        <v>136.96</v>
      </c>
      <c r="F4" s="58">
        <f t="shared" ref="F4:F26" si="0">D4*E4</f>
        <v>2739.2000000000003</v>
      </c>
      <c r="G4" s="56" t="s">
        <v>290</v>
      </c>
    </row>
    <row r="5" spans="1:7" ht="18.95" customHeight="1">
      <c r="A5" s="56">
        <v>2</v>
      </c>
      <c r="B5" s="57" t="s">
        <v>289</v>
      </c>
      <c r="C5" s="56" t="s">
        <v>24</v>
      </c>
      <c r="D5" s="56">
        <v>30</v>
      </c>
      <c r="E5" s="58">
        <v>9.43</v>
      </c>
      <c r="F5" s="58">
        <f t="shared" si="0"/>
        <v>282.89999999999998</v>
      </c>
      <c r="G5" s="56" t="s">
        <v>288</v>
      </c>
    </row>
    <row r="6" spans="1:7" ht="23.65" customHeight="1">
      <c r="A6" s="56">
        <v>3</v>
      </c>
      <c r="B6" s="57" t="s">
        <v>263</v>
      </c>
      <c r="C6" s="56" t="s">
        <v>24</v>
      </c>
      <c r="D6" s="56">
        <v>30</v>
      </c>
      <c r="E6" s="58">
        <v>9.5399999999999991</v>
      </c>
      <c r="F6" s="58">
        <f t="shared" si="0"/>
        <v>286.2</v>
      </c>
      <c r="G6" s="56" t="s">
        <v>264</v>
      </c>
    </row>
    <row r="7" spans="1:7" ht="50.65" customHeight="1">
      <c r="A7" s="56">
        <v>4</v>
      </c>
      <c r="B7" s="57" t="s">
        <v>265</v>
      </c>
      <c r="C7" s="56" t="s">
        <v>24</v>
      </c>
      <c r="D7" s="56">
        <v>2</v>
      </c>
      <c r="E7" s="58">
        <v>2.5</v>
      </c>
      <c r="F7" s="58">
        <f t="shared" si="0"/>
        <v>5</v>
      </c>
      <c r="G7" s="56" t="s">
        <v>246</v>
      </c>
    </row>
    <row r="8" spans="1:7" ht="51">
      <c r="A8" s="56">
        <v>5</v>
      </c>
      <c r="B8" s="57" t="s">
        <v>266</v>
      </c>
      <c r="C8" s="56" t="s">
        <v>24</v>
      </c>
      <c r="D8" s="56">
        <v>2</v>
      </c>
      <c r="E8" s="58">
        <v>5.3</v>
      </c>
      <c r="F8" s="58">
        <f t="shared" si="0"/>
        <v>10.6</v>
      </c>
      <c r="G8" s="56" t="s">
        <v>247</v>
      </c>
    </row>
    <row r="9" spans="1:7" ht="63.75">
      <c r="A9" s="56">
        <v>6</v>
      </c>
      <c r="B9" s="57" t="s">
        <v>267</v>
      </c>
      <c r="C9" s="56" t="s">
        <v>24</v>
      </c>
      <c r="D9" s="56">
        <v>2</v>
      </c>
      <c r="E9" s="58">
        <v>2.37</v>
      </c>
      <c r="F9" s="58">
        <f t="shared" si="0"/>
        <v>4.74</v>
      </c>
      <c r="G9" s="56" t="s">
        <v>244</v>
      </c>
    </row>
    <row r="10" spans="1:7" ht="63.75">
      <c r="A10" s="56">
        <v>7</v>
      </c>
      <c r="B10" s="57" t="s">
        <v>268</v>
      </c>
      <c r="C10" s="56" t="s">
        <v>24</v>
      </c>
      <c r="D10" s="56">
        <v>2</v>
      </c>
      <c r="E10" s="58">
        <v>2.46</v>
      </c>
      <c r="F10" s="58">
        <f t="shared" si="0"/>
        <v>4.92</v>
      </c>
      <c r="G10" s="56" t="s">
        <v>245</v>
      </c>
    </row>
    <row r="11" spans="1:7" ht="32.1" customHeight="1">
      <c r="A11" s="56">
        <v>8</v>
      </c>
      <c r="B11" s="57" t="s">
        <v>269</v>
      </c>
      <c r="C11" s="56" t="s">
        <v>24</v>
      </c>
      <c r="D11" s="56">
        <v>2</v>
      </c>
      <c r="E11" s="58">
        <v>7.1</v>
      </c>
      <c r="F11" s="58">
        <f t="shared" si="0"/>
        <v>14.2</v>
      </c>
      <c r="G11" s="56" t="s">
        <v>270</v>
      </c>
    </row>
    <row r="12" spans="1:7" ht="35.85" customHeight="1">
      <c r="A12" s="56">
        <v>9</v>
      </c>
      <c r="B12" s="57" t="s">
        <v>271</v>
      </c>
      <c r="C12" s="56" t="s">
        <v>24</v>
      </c>
      <c r="D12" s="56">
        <v>2</v>
      </c>
      <c r="E12" s="58">
        <v>8.08</v>
      </c>
      <c r="F12" s="58">
        <f t="shared" si="0"/>
        <v>16.16</v>
      </c>
      <c r="G12" s="56" t="s">
        <v>272</v>
      </c>
    </row>
    <row r="13" spans="1:7" ht="40.35" customHeight="1">
      <c r="A13" s="56">
        <v>10</v>
      </c>
      <c r="B13" s="57" t="s">
        <v>273</v>
      </c>
      <c r="C13" s="56" t="s">
        <v>24</v>
      </c>
      <c r="D13" s="56">
        <v>2</v>
      </c>
      <c r="E13" s="58">
        <v>8.08</v>
      </c>
      <c r="F13" s="58">
        <f t="shared" si="0"/>
        <v>16.16</v>
      </c>
      <c r="G13" s="56" t="s">
        <v>272</v>
      </c>
    </row>
    <row r="14" spans="1:7" ht="63.75">
      <c r="A14" s="56">
        <v>11</v>
      </c>
      <c r="B14" s="57" t="s">
        <v>282</v>
      </c>
      <c r="C14" s="56" t="s">
        <v>103</v>
      </c>
      <c r="D14" s="56">
        <v>200</v>
      </c>
      <c r="E14" s="58">
        <v>2.29</v>
      </c>
      <c r="F14" s="58">
        <f t="shared" si="0"/>
        <v>458</v>
      </c>
      <c r="G14" s="56" t="s">
        <v>274</v>
      </c>
    </row>
    <row r="15" spans="1:7" ht="63.75">
      <c r="A15" s="56">
        <v>12</v>
      </c>
      <c r="B15" s="57" t="s">
        <v>281</v>
      </c>
      <c r="C15" s="56" t="s">
        <v>103</v>
      </c>
      <c r="D15" s="56">
        <v>200</v>
      </c>
      <c r="E15" s="58">
        <v>2.29</v>
      </c>
      <c r="F15" s="58">
        <f t="shared" si="0"/>
        <v>458</v>
      </c>
      <c r="G15" s="56" t="s">
        <v>274</v>
      </c>
    </row>
    <row r="16" spans="1:7" ht="70.7" customHeight="1">
      <c r="A16" s="56">
        <v>13</v>
      </c>
      <c r="B16" s="57" t="s">
        <v>280</v>
      </c>
      <c r="C16" s="56" t="s">
        <v>103</v>
      </c>
      <c r="D16" s="56">
        <v>200</v>
      </c>
      <c r="E16" s="58">
        <v>2.29</v>
      </c>
      <c r="F16" s="58">
        <f t="shared" si="0"/>
        <v>458</v>
      </c>
      <c r="G16" s="56" t="s">
        <v>274</v>
      </c>
    </row>
    <row r="17" spans="1:7" ht="63.75">
      <c r="A17" s="56">
        <v>14</v>
      </c>
      <c r="B17" s="57" t="s">
        <v>279</v>
      </c>
      <c r="C17" s="56" t="s">
        <v>103</v>
      </c>
      <c r="D17" s="56">
        <v>200</v>
      </c>
      <c r="E17" s="58">
        <v>2.29</v>
      </c>
      <c r="F17" s="58">
        <f t="shared" si="0"/>
        <v>458</v>
      </c>
      <c r="G17" s="56" t="s">
        <v>274</v>
      </c>
    </row>
    <row r="18" spans="1:7" ht="63.75">
      <c r="A18" s="56">
        <v>15</v>
      </c>
      <c r="B18" s="57" t="s">
        <v>278</v>
      </c>
      <c r="C18" s="56" t="s">
        <v>103</v>
      </c>
      <c r="D18" s="56">
        <v>200</v>
      </c>
      <c r="E18" s="58">
        <v>2.29</v>
      </c>
      <c r="F18" s="58">
        <f t="shared" si="0"/>
        <v>458</v>
      </c>
      <c r="G18" s="56" t="s">
        <v>274</v>
      </c>
    </row>
    <row r="19" spans="1:7" ht="76.5">
      <c r="A19" s="56">
        <v>16</v>
      </c>
      <c r="B19" s="59" t="s">
        <v>292</v>
      </c>
      <c r="C19" s="56" t="s">
        <v>103</v>
      </c>
      <c r="D19" s="56">
        <v>100</v>
      </c>
      <c r="E19" s="58">
        <v>8.39</v>
      </c>
      <c r="F19" s="58">
        <f t="shared" si="0"/>
        <v>839</v>
      </c>
      <c r="G19" s="56" t="s">
        <v>120</v>
      </c>
    </row>
    <row r="20" spans="1:7" ht="21.2" customHeight="1">
      <c r="A20" s="56">
        <v>17</v>
      </c>
      <c r="B20" s="59" t="s">
        <v>253</v>
      </c>
      <c r="C20" s="68" t="s">
        <v>103</v>
      </c>
      <c r="D20" s="68">
        <v>100</v>
      </c>
      <c r="E20" s="60">
        <v>3.26</v>
      </c>
      <c r="F20" s="60">
        <f t="shared" si="0"/>
        <v>326</v>
      </c>
      <c r="G20" s="61" t="s">
        <v>120</v>
      </c>
    </row>
    <row r="21" spans="1:7" ht="21.95" customHeight="1">
      <c r="A21" s="56">
        <v>18</v>
      </c>
      <c r="B21" s="59" t="s">
        <v>252</v>
      </c>
      <c r="C21" s="68" t="s">
        <v>250</v>
      </c>
      <c r="D21" s="68">
        <v>200</v>
      </c>
      <c r="E21" s="60">
        <v>0.57999999999999996</v>
      </c>
      <c r="F21" s="60">
        <f t="shared" si="0"/>
        <v>115.99999999999999</v>
      </c>
      <c r="G21" s="61" t="s">
        <v>120</v>
      </c>
    </row>
    <row r="22" spans="1:7" ht="19.5" customHeight="1">
      <c r="A22" s="56">
        <v>19</v>
      </c>
      <c r="B22" s="59" t="s">
        <v>251</v>
      </c>
      <c r="C22" s="68" t="s">
        <v>250</v>
      </c>
      <c r="D22" s="68">
        <v>200</v>
      </c>
      <c r="E22" s="60">
        <v>0.69</v>
      </c>
      <c r="F22" s="60">
        <f t="shared" si="0"/>
        <v>138</v>
      </c>
      <c r="G22" s="61" t="s">
        <v>120</v>
      </c>
    </row>
    <row r="23" spans="1:7" ht="51">
      <c r="A23" s="56">
        <v>20</v>
      </c>
      <c r="B23" s="57" t="s">
        <v>275</v>
      </c>
      <c r="C23" s="56" t="s">
        <v>24</v>
      </c>
      <c r="D23" s="56">
        <v>5</v>
      </c>
      <c r="E23" s="58">
        <v>8.49</v>
      </c>
      <c r="F23" s="58">
        <f t="shared" si="0"/>
        <v>42.45</v>
      </c>
      <c r="G23" s="56" t="s">
        <v>120</v>
      </c>
    </row>
    <row r="24" spans="1:7" ht="51">
      <c r="A24" s="56">
        <v>21</v>
      </c>
      <c r="B24" s="57" t="s">
        <v>276</v>
      </c>
      <c r="C24" s="56" t="s">
        <v>24</v>
      </c>
      <c r="D24" s="56">
        <v>5</v>
      </c>
      <c r="E24" s="58">
        <v>9.99</v>
      </c>
      <c r="F24" s="58">
        <f t="shared" si="0"/>
        <v>49.95</v>
      </c>
      <c r="G24" s="56" t="s">
        <v>120</v>
      </c>
    </row>
    <row r="25" spans="1:7" ht="49.9" customHeight="1">
      <c r="A25" s="56">
        <v>22</v>
      </c>
      <c r="B25" s="57" t="s">
        <v>249</v>
      </c>
      <c r="C25" s="61" t="s">
        <v>24</v>
      </c>
      <c r="D25" s="61">
        <v>15</v>
      </c>
      <c r="E25" s="60">
        <v>23.69</v>
      </c>
      <c r="F25" s="60">
        <f t="shared" si="0"/>
        <v>355.35</v>
      </c>
      <c r="G25" s="61" t="s">
        <v>248</v>
      </c>
    </row>
    <row r="26" spans="1:7" ht="97.35" customHeight="1">
      <c r="A26" s="56">
        <v>23</v>
      </c>
      <c r="B26" s="57" t="s">
        <v>277</v>
      </c>
      <c r="C26" s="56" t="s">
        <v>24</v>
      </c>
      <c r="D26" s="56">
        <v>10</v>
      </c>
      <c r="E26" s="58">
        <v>41.5</v>
      </c>
      <c r="F26" s="58">
        <f t="shared" si="0"/>
        <v>415</v>
      </c>
      <c r="G26" s="56" t="s">
        <v>120</v>
      </c>
    </row>
    <row r="27" spans="1:7" ht="57" customHeight="1">
      <c r="A27" s="70"/>
      <c r="B27" s="71"/>
      <c r="C27" s="70"/>
      <c r="D27" s="70"/>
      <c r="E27" s="72"/>
      <c r="F27" s="72"/>
      <c r="G27" s="70"/>
    </row>
    <row r="28" spans="1:7" ht="15" customHeight="1">
      <c r="A28" s="70"/>
      <c r="B28" s="71"/>
      <c r="C28" s="70"/>
      <c r="D28" s="70"/>
      <c r="E28" s="72"/>
      <c r="F28" s="72"/>
      <c r="G28" s="70"/>
    </row>
    <row r="29" spans="1:7">
      <c r="A29" s="332" t="s">
        <v>243</v>
      </c>
      <c r="B29" s="332"/>
      <c r="C29" s="332"/>
      <c r="D29" s="332"/>
      <c r="E29" s="332"/>
      <c r="F29" s="332"/>
      <c r="G29" s="332"/>
    </row>
    <row r="30" spans="1:7" ht="25.5">
      <c r="A30" s="73" t="s">
        <v>23</v>
      </c>
      <c r="B30" s="73" t="s">
        <v>22</v>
      </c>
      <c r="C30" s="73" t="s">
        <v>24</v>
      </c>
      <c r="D30" s="73" t="s">
        <v>128</v>
      </c>
      <c r="E30" s="73" t="s">
        <v>261</v>
      </c>
      <c r="F30" s="73" t="s">
        <v>262</v>
      </c>
      <c r="G30" s="73" t="s">
        <v>127</v>
      </c>
    </row>
    <row r="31" spans="1:7" ht="38.25">
      <c r="A31" s="56">
        <v>1</v>
      </c>
      <c r="B31" s="62" t="s">
        <v>242</v>
      </c>
      <c r="C31" s="56" t="s">
        <v>24</v>
      </c>
      <c r="D31" s="56">
        <v>4</v>
      </c>
      <c r="E31" s="58">
        <v>1.1399999999999999</v>
      </c>
      <c r="F31" s="58">
        <f t="shared" ref="F31:F62" si="1">D31*E31</f>
        <v>4.5599999999999996</v>
      </c>
      <c r="G31" s="56" t="s">
        <v>241</v>
      </c>
    </row>
    <row r="32" spans="1:7" ht="38.25">
      <c r="A32" s="56">
        <v>2</v>
      </c>
      <c r="B32" s="63" t="s">
        <v>240</v>
      </c>
      <c r="C32" s="56" t="s">
        <v>24</v>
      </c>
      <c r="D32" s="56">
        <v>4</v>
      </c>
      <c r="E32" s="58">
        <v>2.37</v>
      </c>
      <c r="F32" s="58">
        <f t="shared" si="1"/>
        <v>9.48</v>
      </c>
      <c r="G32" s="56" t="s">
        <v>239</v>
      </c>
    </row>
    <row r="33" spans="1:7" ht="38.25">
      <c r="A33" s="56">
        <v>3</v>
      </c>
      <c r="B33" s="63" t="s">
        <v>238</v>
      </c>
      <c r="C33" s="56" t="s">
        <v>24</v>
      </c>
      <c r="D33" s="56">
        <v>4</v>
      </c>
      <c r="E33" s="58">
        <v>5.74</v>
      </c>
      <c r="F33" s="58">
        <f t="shared" si="1"/>
        <v>22.96</v>
      </c>
      <c r="G33" s="56" t="s">
        <v>237</v>
      </c>
    </row>
    <row r="34" spans="1:7" ht="38.25">
      <c r="A34" s="56">
        <v>4</v>
      </c>
      <c r="B34" s="63" t="s">
        <v>236</v>
      </c>
      <c r="C34" s="56" t="s">
        <v>24</v>
      </c>
      <c r="D34" s="56">
        <v>4</v>
      </c>
      <c r="E34" s="58">
        <v>15.6</v>
      </c>
      <c r="F34" s="58">
        <f t="shared" si="1"/>
        <v>62.4</v>
      </c>
      <c r="G34" s="56" t="s">
        <v>235</v>
      </c>
    </row>
    <row r="35" spans="1:7" ht="25.5">
      <c r="A35" s="56">
        <v>5</v>
      </c>
      <c r="B35" s="63" t="s">
        <v>234</v>
      </c>
      <c r="C35" s="56" t="s">
        <v>24</v>
      </c>
      <c r="D35" s="56">
        <v>2</v>
      </c>
      <c r="E35" s="58">
        <v>3.53</v>
      </c>
      <c r="F35" s="58">
        <f t="shared" si="1"/>
        <v>7.06</v>
      </c>
      <c r="G35" s="56" t="s">
        <v>233</v>
      </c>
    </row>
    <row r="36" spans="1:7" ht="38.25">
      <c r="A36" s="56">
        <v>6</v>
      </c>
      <c r="B36" s="63" t="s">
        <v>232</v>
      </c>
      <c r="C36" s="56" t="s">
        <v>24</v>
      </c>
      <c r="D36" s="56">
        <v>2</v>
      </c>
      <c r="E36" s="58">
        <v>1.17</v>
      </c>
      <c r="F36" s="58">
        <f t="shared" si="1"/>
        <v>2.34</v>
      </c>
      <c r="G36" s="56" t="s">
        <v>231</v>
      </c>
    </row>
    <row r="37" spans="1:7" ht="38.25">
      <c r="A37" s="56">
        <v>7</v>
      </c>
      <c r="B37" s="63" t="s">
        <v>230</v>
      </c>
      <c r="C37" s="56" t="s">
        <v>24</v>
      </c>
      <c r="D37" s="56">
        <v>4</v>
      </c>
      <c r="E37" s="58">
        <v>2.5499999999999998</v>
      </c>
      <c r="F37" s="58">
        <f t="shared" si="1"/>
        <v>10.199999999999999</v>
      </c>
      <c r="G37" s="56" t="s">
        <v>229</v>
      </c>
    </row>
    <row r="38" spans="1:7" ht="38.25">
      <c r="A38" s="56">
        <v>8</v>
      </c>
      <c r="B38" s="63" t="s">
        <v>228</v>
      </c>
      <c r="C38" s="56" t="s">
        <v>24</v>
      </c>
      <c r="D38" s="56">
        <v>4</v>
      </c>
      <c r="E38" s="58">
        <v>11.72</v>
      </c>
      <c r="F38" s="58">
        <f t="shared" si="1"/>
        <v>46.88</v>
      </c>
      <c r="G38" s="56" t="s">
        <v>227</v>
      </c>
    </row>
    <row r="39" spans="1:7" ht="38.25">
      <c r="A39" s="56">
        <v>9</v>
      </c>
      <c r="B39" s="63" t="s">
        <v>226</v>
      </c>
      <c r="C39" s="56" t="s">
        <v>24</v>
      </c>
      <c r="D39" s="56">
        <v>4</v>
      </c>
      <c r="E39" s="58">
        <v>7.05</v>
      </c>
      <c r="F39" s="58">
        <f t="shared" si="1"/>
        <v>28.2</v>
      </c>
      <c r="G39" s="56" t="s">
        <v>225</v>
      </c>
    </row>
    <row r="40" spans="1:7" ht="38.25">
      <c r="A40" s="56">
        <v>10</v>
      </c>
      <c r="B40" s="63" t="s">
        <v>224</v>
      </c>
      <c r="C40" s="56" t="s">
        <v>24</v>
      </c>
      <c r="D40" s="56">
        <v>4</v>
      </c>
      <c r="E40" s="58">
        <v>5.42</v>
      </c>
      <c r="F40" s="58">
        <f t="shared" si="1"/>
        <v>21.68</v>
      </c>
      <c r="G40" s="56" t="s">
        <v>223</v>
      </c>
    </row>
    <row r="41" spans="1:7" ht="25.5">
      <c r="A41" s="56">
        <v>11</v>
      </c>
      <c r="B41" s="63" t="s">
        <v>222</v>
      </c>
      <c r="C41" s="56" t="s">
        <v>24</v>
      </c>
      <c r="D41" s="56">
        <v>2</v>
      </c>
      <c r="E41" s="58">
        <v>10.17</v>
      </c>
      <c r="F41" s="58">
        <f t="shared" si="1"/>
        <v>20.34</v>
      </c>
      <c r="G41" s="56" t="s">
        <v>221</v>
      </c>
    </row>
    <row r="42" spans="1:7" ht="25.5">
      <c r="A42" s="56">
        <v>12</v>
      </c>
      <c r="B42" s="63" t="s">
        <v>220</v>
      </c>
      <c r="C42" s="56" t="s">
        <v>24</v>
      </c>
      <c r="D42" s="56">
        <v>2</v>
      </c>
      <c r="E42" s="58">
        <v>1.61</v>
      </c>
      <c r="F42" s="58">
        <f t="shared" si="1"/>
        <v>3.22</v>
      </c>
      <c r="G42" s="56" t="s">
        <v>219</v>
      </c>
    </row>
    <row r="43" spans="1:7" ht="22.9" customHeight="1">
      <c r="A43" s="56">
        <v>13</v>
      </c>
      <c r="B43" s="63" t="s">
        <v>218</v>
      </c>
      <c r="C43" s="56" t="s">
        <v>24</v>
      </c>
      <c r="D43" s="56">
        <v>4</v>
      </c>
      <c r="E43" s="58">
        <v>8.39</v>
      </c>
      <c r="F43" s="58">
        <f t="shared" si="1"/>
        <v>33.56</v>
      </c>
      <c r="G43" s="56" t="s">
        <v>120</v>
      </c>
    </row>
    <row r="44" spans="1:7" ht="23.85" customHeight="1">
      <c r="A44" s="56">
        <v>14</v>
      </c>
      <c r="B44" s="63" t="s">
        <v>217</v>
      </c>
      <c r="C44" s="56" t="s">
        <v>24</v>
      </c>
      <c r="D44" s="56">
        <v>4</v>
      </c>
      <c r="E44" s="58">
        <v>4.29</v>
      </c>
      <c r="F44" s="58">
        <f t="shared" si="1"/>
        <v>17.16</v>
      </c>
      <c r="G44" s="56" t="s">
        <v>120</v>
      </c>
    </row>
    <row r="45" spans="1:7" ht="27">
      <c r="A45" s="56">
        <v>15</v>
      </c>
      <c r="B45" s="62" t="s">
        <v>293</v>
      </c>
      <c r="C45" s="56" t="s">
        <v>24</v>
      </c>
      <c r="D45" s="56">
        <v>2</v>
      </c>
      <c r="E45" s="58">
        <v>42.73</v>
      </c>
      <c r="F45" s="58">
        <f t="shared" si="1"/>
        <v>85.46</v>
      </c>
      <c r="G45" s="56" t="s">
        <v>120</v>
      </c>
    </row>
    <row r="46" spans="1:7" ht="37.9" customHeight="1">
      <c r="A46" s="56">
        <v>16</v>
      </c>
      <c r="B46" s="63" t="s">
        <v>216</v>
      </c>
      <c r="C46" s="56" t="s">
        <v>24</v>
      </c>
      <c r="D46" s="56">
        <v>4</v>
      </c>
      <c r="E46" s="58">
        <v>0.95</v>
      </c>
      <c r="F46" s="58">
        <f t="shared" si="1"/>
        <v>3.8</v>
      </c>
      <c r="G46" s="56" t="s">
        <v>215</v>
      </c>
    </row>
    <row r="47" spans="1:7" ht="35.85" customHeight="1">
      <c r="A47" s="56">
        <v>17</v>
      </c>
      <c r="B47" s="63" t="s">
        <v>214</v>
      </c>
      <c r="C47" s="56" t="s">
        <v>24</v>
      </c>
      <c r="D47" s="56">
        <v>4</v>
      </c>
      <c r="E47" s="58">
        <v>2.84</v>
      </c>
      <c r="F47" s="58">
        <f t="shared" si="1"/>
        <v>11.36</v>
      </c>
      <c r="G47" s="56" t="s">
        <v>213</v>
      </c>
    </row>
    <row r="48" spans="1:7" ht="32.85" customHeight="1">
      <c r="A48" s="56">
        <v>18</v>
      </c>
      <c r="B48" s="63" t="s">
        <v>212</v>
      </c>
      <c r="C48" s="56" t="s">
        <v>24</v>
      </c>
      <c r="D48" s="56">
        <v>4</v>
      </c>
      <c r="E48" s="58">
        <v>6.74</v>
      </c>
      <c r="F48" s="58">
        <f t="shared" si="1"/>
        <v>26.96</v>
      </c>
      <c r="G48" s="56" t="s">
        <v>211</v>
      </c>
    </row>
    <row r="49" spans="1:7" ht="35.25" customHeight="1">
      <c r="A49" s="56">
        <v>19</v>
      </c>
      <c r="B49" s="63" t="s">
        <v>210</v>
      </c>
      <c r="C49" s="56" t="s">
        <v>24</v>
      </c>
      <c r="D49" s="56">
        <v>4</v>
      </c>
      <c r="E49" s="58">
        <v>7.3</v>
      </c>
      <c r="F49" s="58">
        <f t="shared" si="1"/>
        <v>29.2</v>
      </c>
      <c r="G49" s="56" t="s">
        <v>209</v>
      </c>
    </row>
    <row r="50" spans="1:7" ht="35.25" customHeight="1">
      <c r="A50" s="56">
        <v>20</v>
      </c>
      <c r="B50" s="63" t="s">
        <v>208</v>
      </c>
      <c r="C50" s="56" t="s">
        <v>24</v>
      </c>
      <c r="D50" s="56">
        <v>4</v>
      </c>
      <c r="E50" s="58">
        <v>31.68</v>
      </c>
      <c r="F50" s="58">
        <f t="shared" si="1"/>
        <v>126.72</v>
      </c>
      <c r="G50" s="56" t="s">
        <v>207</v>
      </c>
    </row>
    <row r="51" spans="1:7" ht="34.9" customHeight="1">
      <c r="A51" s="56">
        <v>21</v>
      </c>
      <c r="B51" s="63" t="s">
        <v>206</v>
      </c>
      <c r="C51" s="56" t="s">
        <v>24</v>
      </c>
      <c r="D51" s="56">
        <v>4</v>
      </c>
      <c r="E51" s="58">
        <v>13.28</v>
      </c>
      <c r="F51" s="58">
        <f t="shared" si="1"/>
        <v>53.12</v>
      </c>
      <c r="G51" s="56" t="s">
        <v>205</v>
      </c>
    </row>
    <row r="52" spans="1:7" ht="34.9" customHeight="1">
      <c r="A52" s="56">
        <v>22</v>
      </c>
      <c r="B52" s="63" t="s">
        <v>204</v>
      </c>
      <c r="C52" s="56" t="s">
        <v>24</v>
      </c>
      <c r="D52" s="56">
        <v>4</v>
      </c>
      <c r="E52" s="58">
        <v>31.77</v>
      </c>
      <c r="F52" s="58">
        <f t="shared" si="1"/>
        <v>127.08</v>
      </c>
      <c r="G52" s="56" t="s">
        <v>203</v>
      </c>
    </row>
    <row r="53" spans="1:7" ht="34.9" customHeight="1">
      <c r="A53" s="56">
        <v>23</v>
      </c>
      <c r="B53" s="63" t="s">
        <v>202</v>
      </c>
      <c r="C53" s="56" t="s">
        <v>24</v>
      </c>
      <c r="D53" s="56">
        <v>4</v>
      </c>
      <c r="E53" s="58">
        <v>36.06</v>
      </c>
      <c r="F53" s="58">
        <f t="shared" si="1"/>
        <v>144.24</v>
      </c>
      <c r="G53" s="56" t="s">
        <v>201</v>
      </c>
    </row>
    <row r="54" spans="1:7" ht="34.9" customHeight="1">
      <c r="A54" s="56">
        <v>24</v>
      </c>
      <c r="B54" s="63" t="s">
        <v>200</v>
      </c>
      <c r="C54" s="56" t="s">
        <v>24</v>
      </c>
      <c r="D54" s="56">
        <v>4</v>
      </c>
      <c r="E54" s="58">
        <v>56.32</v>
      </c>
      <c r="F54" s="58">
        <f t="shared" si="1"/>
        <v>225.28</v>
      </c>
      <c r="G54" s="56" t="s">
        <v>199</v>
      </c>
    </row>
    <row r="55" spans="1:7" ht="34.9" customHeight="1">
      <c r="A55" s="56">
        <v>25</v>
      </c>
      <c r="B55" s="63" t="s">
        <v>198</v>
      </c>
      <c r="C55" s="56" t="s">
        <v>24</v>
      </c>
      <c r="D55" s="56">
        <v>4</v>
      </c>
      <c r="E55" s="58">
        <v>6.32</v>
      </c>
      <c r="F55" s="58">
        <f t="shared" si="1"/>
        <v>25.28</v>
      </c>
      <c r="G55" s="56" t="s">
        <v>197</v>
      </c>
    </row>
    <row r="56" spans="1:7" ht="34.9" customHeight="1">
      <c r="A56" s="56">
        <v>26</v>
      </c>
      <c r="B56" s="63" t="s">
        <v>196</v>
      </c>
      <c r="C56" s="56" t="s">
        <v>24</v>
      </c>
      <c r="D56" s="56">
        <v>4</v>
      </c>
      <c r="E56" s="58">
        <v>14.98</v>
      </c>
      <c r="F56" s="58">
        <f t="shared" si="1"/>
        <v>59.92</v>
      </c>
      <c r="G56" s="56" t="s">
        <v>195</v>
      </c>
    </row>
    <row r="57" spans="1:7" ht="34.9" customHeight="1">
      <c r="A57" s="56">
        <v>27</v>
      </c>
      <c r="B57" s="63" t="s">
        <v>194</v>
      </c>
      <c r="C57" s="56" t="s">
        <v>24</v>
      </c>
      <c r="D57" s="56">
        <v>6</v>
      </c>
      <c r="E57" s="58">
        <v>11.58</v>
      </c>
      <c r="F57" s="58">
        <f t="shared" si="1"/>
        <v>69.48</v>
      </c>
      <c r="G57" s="56" t="s">
        <v>193</v>
      </c>
    </row>
    <row r="58" spans="1:7" ht="34.9" customHeight="1">
      <c r="A58" s="56">
        <v>28</v>
      </c>
      <c r="B58" s="63" t="s">
        <v>192</v>
      </c>
      <c r="C58" s="56" t="s">
        <v>24</v>
      </c>
      <c r="D58" s="56">
        <v>4</v>
      </c>
      <c r="E58" s="58">
        <v>19.010000000000002</v>
      </c>
      <c r="F58" s="58">
        <f t="shared" si="1"/>
        <v>76.040000000000006</v>
      </c>
      <c r="G58" s="56" t="s">
        <v>191</v>
      </c>
    </row>
    <row r="59" spans="1:7" ht="34.9" customHeight="1">
      <c r="A59" s="56">
        <v>29</v>
      </c>
      <c r="B59" s="63" t="s">
        <v>190</v>
      </c>
      <c r="C59" s="56" t="s">
        <v>24</v>
      </c>
      <c r="D59" s="56">
        <v>4</v>
      </c>
      <c r="E59" s="58">
        <v>37.03</v>
      </c>
      <c r="F59" s="58">
        <f t="shared" si="1"/>
        <v>148.12</v>
      </c>
      <c r="G59" s="56" t="s">
        <v>189</v>
      </c>
    </row>
    <row r="60" spans="1:7" ht="34.9" customHeight="1">
      <c r="A60" s="56">
        <v>30</v>
      </c>
      <c r="B60" s="63" t="s">
        <v>188</v>
      </c>
      <c r="C60" s="56" t="s">
        <v>24</v>
      </c>
      <c r="D60" s="56">
        <v>4</v>
      </c>
      <c r="E60" s="58">
        <v>40.090000000000003</v>
      </c>
      <c r="F60" s="58">
        <f t="shared" si="1"/>
        <v>160.36000000000001</v>
      </c>
      <c r="G60" s="56" t="s">
        <v>187</v>
      </c>
    </row>
    <row r="61" spans="1:7" ht="34.9" customHeight="1">
      <c r="A61" s="56">
        <v>31</v>
      </c>
      <c r="B61" s="63" t="s">
        <v>186</v>
      </c>
      <c r="C61" s="56" t="s">
        <v>24</v>
      </c>
      <c r="D61" s="56">
        <v>4</v>
      </c>
      <c r="E61" s="58">
        <v>100.92</v>
      </c>
      <c r="F61" s="58">
        <f t="shared" si="1"/>
        <v>403.68</v>
      </c>
      <c r="G61" s="56" t="s">
        <v>185</v>
      </c>
    </row>
    <row r="62" spans="1:7" ht="34.700000000000003" customHeight="1">
      <c r="A62" s="56">
        <v>32</v>
      </c>
      <c r="B62" s="63" t="s">
        <v>184</v>
      </c>
      <c r="C62" s="56" t="s">
        <v>24</v>
      </c>
      <c r="D62" s="56">
        <v>6</v>
      </c>
      <c r="E62" s="58">
        <v>1.02</v>
      </c>
      <c r="F62" s="58">
        <f t="shared" si="1"/>
        <v>6.12</v>
      </c>
      <c r="G62" s="56" t="s">
        <v>183</v>
      </c>
    </row>
    <row r="63" spans="1:7" ht="34.700000000000003" customHeight="1">
      <c r="A63" s="56">
        <v>33</v>
      </c>
      <c r="B63" s="63" t="s">
        <v>182</v>
      </c>
      <c r="C63" s="56" t="s">
        <v>24</v>
      </c>
      <c r="D63" s="56">
        <v>4</v>
      </c>
      <c r="E63" s="58">
        <v>2.5</v>
      </c>
      <c r="F63" s="58">
        <f t="shared" ref="F63:F92" si="2">D63*E63</f>
        <v>10</v>
      </c>
      <c r="G63" s="56" t="s">
        <v>181</v>
      </c>
    </row>
    <row r="64" spans="1:7" ht="34.700000000000003" customHeight="1">
      <c r="A64" s="56">
        <v>34</v>
      </c>
      <c r="B64" s="63" t="s">
        <v>180</v>
      </c>
      <c r="C64" s="56" t="s">
        <v>24</v>
      </c>
      <c r="D64" s="56">
        <v>4</v>
      </c>
      <c r="E64" s="58">
        <v>5.0999999999999996</v>
      </c>
      <c r="F64" s="58">
        <f t="shared" si="2"/>
        <v>20.399999999999999</v>
      </c>
      <c r="G64" s="56" t="s">
        <v>179</v>
      </c>
    </row>
    <row r="65" spans="1:7" ht="34.700000000000003" customHeight="1">
      <c r="A65" s="56">
        <v>35</v>
      </c>
      <c r="B65" s="63" t="s">
        <v>178</v>
      </c>
      <c r="C65" s="56" t="s">
        <v>24</v>
      </c>
      <c r="D65" s="56">
        <v>4</v>
      </c>
      <c r="E65" s="58">
        <v>5.98</v>
      </c>
      <c r="F65" s="58">
        <f t="shared" si="2"/>
        <v>23.92</v>
      </c>
      <c r="G65" s="56" t="s">
        <v>177</v>
      </c>
    </row>
    <row r="66" spans="1:7" ht="34.700000000000003" customHeight="1">
      <c r="A66" s="56">
        <v>36</v>
      </c>
      <c r="B66" s="63" t="s">
        <v>176</v>
      </c>
      <c r="C66" s="56" t="s">
        <v>24</v>
      </c>
      <c r="D66" s="56">
        <v>4</v>
      </c>
      <c r="E66" s="58">
        <v>15.58</v>
      </c>
      <c r="F66" s="58">
        <f t="shared" si="2"/>
        <v>62.32</v>
      </c>
      <c r="G66" s="56" t="s">
        <v>175</v>
      </c>
    </row>
    <row r="67" spans="1:7" ht="34.700000000000003" customHeight="1">
      <c r="A67" s="56">
        <v>37</v>
      </c>
      <c r="B67" s="63" t="s">
        <v>174</v>
      </c>
      <c r="C67" s="56" t="s">
        <v>24</v>
      </c>
      <c r="D67" s="56">
        <v>2</v>
      </c>
      <c r="E67" s="58">
        <v>7</v>
      </c>
      <c r="F67" s="58">
        <f t="shared" si="2"/>
        <v>14</v>
      </c>
      <c r="G67" s="56" t="s">
        <v>173</v>
      </c>
    </row>
    <row r="68" spans="1:7" ht="34.9" customHeight="1">
      <c r="A68" s="56">
        <v>38</v>
      </c>
      <c r="B68" s="63" t="s">
        <v>172</v>
      </c>
      <c r="C68" s="56" t="s">
        <v>24</v>
      </c>
      <c r="D68" s="56">
        <v>8</v>
      </c>
      <c r="E68" s="58">
        <v>4.51</v>
      </c>
      <c r="F68" s="58">
        <f t="shared" si="2"/>
        <v>36.08</v>
      </c>
      <c r="G68" s="56" t="s">
        <v>171</v>
      </c>
    </row>
    <row r="69" spans="1:7" ht="38.25">
      <c r="A69" s="56">
        <v>39</v>
      </c>
      <c r="B69" s="63" t="s">
        <v>170</v>
      </c>
      <c r="C69" s="56" t="s">
        <v>24</v>
      </c>
      <c r="D69" s="56">
        <v>4</v>
      </c>
      <c r="E69" s="58">
        <v>0.15</v>
      </c>
      <c r="F69" s="58">
        <f t="shared" si="2"/>
        <v>0.6</v>
      </c>
      <c r="G69" s="56" t="s">
        <v>169</v>
      </c>
    </row>
    <row r="70" spans="1:7" ht="38.25" customHeight="1">
      <c r="A70" s="56">
        <v>40</v>
      </c>
      <c r="B70" s="63" t="s">
        <v>168</v>
      </c>
      <c r="C70" s="56" t="s">
        <v>24</v>
      </c>
      <c r="D70" s="56">
        <v>4</v>
      </c>
      <c r="E70" s="58">
        <v>4.72</v>
      </c>
      <c r="F70" s="58">
        <f t="shared" si="2"/>
        <v>18.88</v>
      </c>
      <c r="G70" s="56" t="s">
        <v>120</v>
      </c>
    </row>
    <row r="71" spans="1:7" ht="38.25" customHeight="1">
      <c r="A71" s="56">
        <v>41</v>
      </c>
      <c r="B71" s="63" t="s">
        <v>167</v>
      </c>
      <c r="C71" s="56" t="s">
        <v>24</v>
      </c>
      <c r="D71" s="56">
        <v>4</v>
      </c>
      <c r="E71" s="58">
        <v>1.07</v>
      </c>
      <c r="F71" s="58">
        <f t="shared" si="2"/>
        <v>4.28</v>
      </c>
      <c r="G71" s="56" t="s">
        <v>166</v>
      </c>
    </row>
    <row r="72" spans="1:7" ht="48.75" customHeight="1">
      <c r="A72" s="56">
        <v>42</v>
      </c>
      <c r="B72" s="63" t="s">
        <v>165</v>
      </c>
      <c r="C72" s="56" t="s">
        <v>24</v>
      </c>
      <c r="D72" s="56">
        <v>1</v>
      </c>
      <c r="E72" s="58">
        <v>51.69</v>
      </c>
      <c r="F72" s="58">
        <f t="shared" si="2"/>
        <v>51.69</v>
      </c>
      <c r="G72" s="56" t="s">
        <v>164</v>
      </c>
    </row>
    <row r="73" spans="1:7" ht="46.7" customHeight="1">
      <c r="A73" s="56">
        <v>43</v>
      </c>
      <c r="B73" s="63" t="s">
        <v>163</v>
      </c>
      <c r="C73" s="56" t="s">
        <v>24</v>
      </c>
      <c r="D73" s="56">
        <v>1</v>
      </c>
      <c r="E73" s="58">
        <v>123.89</v>
      </c>
      <c r="F73" s="58">
        <f t="shared" si="2"/>
        <v>123.89</v>
      </c>
      <c r="G73" s="56" t="s">
        <v>162</v>
      </c>
    </row>
    <row r="74" spans="1:7" ht="48.75" customHeight="1">
      <c r="A74" s="56">
        <v>44</v>
      </c>
      <c r="B74" s="63" t="s">
        <v>161</v>
      </c>
      <c r="C74" s="56" t="s">
        <v>24</v>
      </c>
      <c r="D74" s="56">
        <v>1</v>
      </c>
      <c r="E74" s="58">
        <v>79.900000000000006</v>
      </c>
      <c r="F74" s="58">
        <f t="shared" si="2"/>
        <v>79.900000000000006</v>
      </c>
      <c r="G74" s="56" t="s">
        <v>160</v>
      </c>
    </row>
    <row r="75" spans="1:7">
      <c r="A75" s="56">
        <v>45</v>
      </c>
      <c r="B75" s="62" t="s">
        <v>287</v>
      </c>
      <c r="C75" s="56" t="s">
        <v>24</v>
      </c>
      <c r="D75" s="56">
        <v>10</v>
      </c>
      <c r="E75" s="58">
        <v>79.989999999999995</v>
      </c>
      <c r="F75" s="58">
        <f t="shared" si="2"/>
        <v>799.9</v>
      </c>
      <c r="G75" s="56" t="s">
        <v>120</v>
      </c>
    </row>
    <row r="76" spans="1:7" ht="25.5">
      <c r="A76" s="56">
        <v>46</v>
      </c>
      <c r="B76" s="63" t="s">
        <v>159</v>
      </c>
      <c r="C76" s="56" t="s">
        <v>24</v>
      </c>
      <c r="D76" s="56">
        <v>4</v>
      </c>
      <c r="E76" s="58">
        <v>1.61</v>
      </c>
      <c r="F76" s="58">
        <f t="shared" si="2"/>
        <v>6.44</v>
      </c>
      <c r="G76" s="56" t="s">
        <v>158</v>
      </c>
    </row>
    <row r="77" spans="1:7" ht="25.5">
      <c r="A77" s="56">
        <v>47</v>
      </c>
      <c r="B77" s="63" t="s">
        <v>157</v>
      </c>
      <c r="C77" s="56" t="s">
        <v>24</v>
      </c>
      <c r="D77" s="56">
        <v>4</v>
      </c>
      <c r="E77" s="58">
        <v>5.37</v>
      </c>
      <c r="F77" s="58">
        <f t="shared" si="2"/>
        <v>21.48</v>
      </c>
      <c r="G77" s="56" t="s">
        <v>156</v>
      </c>
    </row>
    <row r="78" spans="1:7" ht="25.5">
      <c r="A78" s="56">
        <v>48</v>
      </c>
      <c r="B78" s="63" t="s">
        <v>155</v>
      </c>
      <c r="C78" s="56" t="s">
        <v>24</v>
      </c>
      <c r="D78" s="56">
        <v>4</v>
      </c>
      <c r="E78" s="58">
        <v>11.76</v>
      </c>
      <c r="F78" s="58">
        <f t="shared" si="2"/>
        <v>47.04</v>
      </c>
      <c r="G78" s="56" t="s">
        <v>154</v>
      </c>
    </row>
    <row r="79" spans="1:7" ht="25.5">
      <c r="A79" s="56">
        <v>49</v>
      </c>
      <c r="B79" s="63" t="s">
        <v>153</v>
      </c>
      <c r="C79" s="56" t="s">
        <v>24</v>
      </c>
      <c r="D79" s="56">
        <v>4</v>
      </c>
      <c r="E79" s="58">
        <v>13.14</v>
      </c>
      <c r="F79" s="58">
        <f t="shared" si="2"/>
        <v>52.56</v>
      </c>
      <c r="G79" s="56" t="s">
        <v>152</v>
      </c>
    </row>
    <row r="80" spans="1:7" ht="25.5">
      <c r="A80" s="56">
        <v>50</v>
      </c>
      <c r="B80" s="63" t="s">
        <v>151</v>
      </c>
      <c r="C80" s="56" t="s">
        <v>24</v>
      </c>
      <c r="D80" s="56">
        <v>6</v>
      </c>
      <c r="E80" s="58">
        <v>39.159999999999997</v>
      </c>
      <c r="F80" s="58">
        <f t="shared" si="2"/>
        <v>234.95999999999998</v>
      </c>
      <c r="G80" s="56" t="s">
        <v>150</v>
      </c>
    </row>
    <row r="81" spans="1:7" ht="28.5">
      <c r="A81" s="56">
        <v>51</v>
      </c>
      <c r="B81" s="62" t="s">
        <v>294</v>
      </c>
      <c r="C81" s="56" t="s">
        <v>24</v>
      </c>
      <c r="D81" s="56">
        <v>2</v>
      </c>
      <c r="E81" s="58">
        <v>123.22</v>
      </c>
      <c r="F81" s="58">
        <f t="shared" si="2"/>
        <v>246.44</v>
      </c>
      <c r="G81" s="56" t="s">
        <v>149</v>
      </c>
    </row>
    <row r="82" spans="1:7" ht="25.5">
      <c r="A82" s="56">
        <v>52</v>
      </c>
      <c r="B82" s="62" t="s">
        <v>295</v>
      </c>
      <c r="C82" s="56" t="s">
        <v>24</v>
      </c>
      <c r="D82" s="56">
        <v>2</v>
      </c>
      <c r="E82" s="58">
        <v>78.94</v>
      </c>
      <c r="F82" s="58">
        <f t="shared" si="2"/>
        <v>157.88</v>
      </c>
      <c r="G82" s="56" t="s">
        <v>148</v>
      </c>
    </row>
    <row r="83" spans="1:7">
      <c r="A83" s="56">
        <v>53</v>
      </c>
      <c r="B83" s="62" t="s">
        <v>296</v>
      </c>
      <c r="C83" s="56" t="s">
        <v>24</v>
      </c>
      <c r="D83" s="56">
        <v>2</v>
      </c>
      <c r="E83" s="58">
        <v>78.14</v>
      </c>
      <c r="F83" s="58">
        <f t="shared" si="2"/>
        <v>156.28</v>
      </c>
      <c r="G83" s="56" t="s">
        <v>147</v>
      </c>
    </row>
    <row r="84" spans="1:7">
      <c r="A84" s="56">
        <v>54</v>
      </c>
      <c r="B84" s="62" t="s">
        <v>297</v>
      </c>
      <c r="C84" s="56" t="s">
        <v>24</v>
      </c>
      <c r="D84" s="56">
        <v>4</v>
      </c>
      <c r="E84" s="58">
        <v>103.48</v>
      </c>
      <c r="F84" s="58">
        <f t="shared" si="2"/>
        <v>413.92</v>
      </c>
      <c r="G84" s="56" t="s">
        <v>146</v>
      </c>
    </row>
    <row r="85" spans="1:7" ht="38.25">
      <c r="A85" s="56">
        <v>55</v>
      </c>
      <c r="B85" s="63" t="s">
        <v>145</v>
      </c>
      <c r="C85" s="56" t="s">
        <v>24</v>
      </c>
      <c r="D85" s="56">
        <v>1</v>
      </c>
      <c r="E85" s="58">
        <v>16.155999999999999</v>
      </c>
      <c r="F85" s="58">
        <f t="shared" si="2"/>
        <v>16.155999999999999</v>
      </c>
      <c r="G85" s="56" t="s">
        <v>144</v>
      </c>
    </row>
    <row r="86" spans="1:7" ht="38.25">
      <c r="A86" s="56">
        <v>56</v>
      </c>
      <c r="B86" s="63" t="s">
        <v>143</v>
      </c>
      <c r="C86" s="56" t="s">
        <v>24</v>
      </c>
      <c r="D86" s="56">
        <v>1</v>
      </c>
      <c r="E86" s="58">
        <v>4.83</v>
      </c>
      <c r="F86" s="58">
        <f t="shared" si="2"/>
        <v>4.83</v>
      </c>
      <c r="G86" s="56" t="s">
        <v>142</v>
      </c>
    </row>
    <row r="87" spans="1:7" ht="38.25">
      <c r="A87" s="56">
        <v>57</v>
      </c>
      <c r="B87" s="63" t="s">
        <v>141</v>
      </c>
      <c r="C87" s="56" t="s">
        <v>24</v>
      </c>
      <c r="D87" s="56">
        <v>1</v>
      </c>
      <c r="E87" s="58">
        <v>10.84</v>
      </c>
      <c r="F87" s="58">
        <f t="shared" si="2"/>
        <v>10.84</v>
      </c>
      <c r="G87" s="56" t="s">
        <v>140</v>
      </c>
    </row>
    <row r="88" spans="1:7" ht="38.25">
      <c r="A88" s="56">
        <v>58</v>
      </c>
      <c r="B88" s="63" t="s">
        <v>139</v>
      </c>
      <c r="C88" s="56" t="s">
        <v>24</v>
      </c>
      <c r="D88" s="56">
        <v>1</v>
      </c>
      <c r="E88" s="58">
        <v>18.09</v>
      </c>
      <c r="F88" s="58">
        <f t="shared" si="2"/>
        <v>18.09</v>
      </c>
      <c r="G88" s="56" t="s">
        <v>138</v>
      </c>
    </row>
    <row r="89" spans="1:7" ht="38.25">
      <c r="A89" s="56">
        <v>59</v>
      </c>
      <c r="B89" s="63" t="s">
        <v>137</v>
      </c>
      <c r="C89" s="56" t="s">
        <v>24</v>
      </c>
      <c r="D89" s="56">
        <v>1</v>
      </c>
      <c r="E89" s="58">
        <v>30.51</v>
      </c>
      <c r="F89" s="58">
        <f t="shared" si="2"/>
        <v>30.51</v>
      </c>
      <c r="G89" s="56" t="s">
        <v>136</v>
      </c>
    </row>
    <row r="90" spans="1:7">
      <c r="A90" s="56">
        <v>60</v>
      </c>
      <c r="B90" s="62" t="s">
        <v>135</v>
      </c>
      <c r="C90" s="56" t="s">
        <v>24</v>
      </c>
      <c r="D90" s="56">
        <v>3</v>
      </c>
      <c r="E90" s="58">
        <v>229.97</v>
      </c>
      <c r="F90" s="58">
        <f t="shared" si="2"/>
        <v>689.91</v>
      </c>
      <c r="G90" s="56" t="s">
        <v>134</v>
      </c>
    </row>
    <row r="91" spans="1:7">
      <c r="A91" s="56">
        <v>61</v>
      </c>
      <c r="B91" s="62" t="s">
        <v>133</v>
      </c>
      <c r="C91" s="56" t="s">
        <v>24</v>
      </c>
      <c r="D91" s="56">
        <v>3</v>
      </c>
      <c r="E91" s="58">
        <v>179</v>
      </c>
      <c r="F91" s="58">
        <f t="shared" si="2"/>
        <v>537</v>
      </c>
      <c r="G91" s="56" t="s">
        <v>132</v>
      </c>
    </row>
    <row r="92" spans="1:7">
      <c r="A92" s="74">
        <v>62</v>
      </c>
      <c r="B92" s="75" t="s">
        <v>131</v>
      </c>
      <c r="C92" s="74" t="s">
        <v>24</v>
      </c>
      <c r="D92" s="74">
        <v>3</v>
      </c>
      <c r="E92" s="76">
        <v>227.72</v>
      </c>
      <c r="F92" s="76">
        <f t="shared" si="2"/>
        <v>683.16</v>
      </c>
      <c r="G92" s="74" t="s">
        <v>130</v>
      </c>
    </row>
    <row r="93" spans="1:7">
      <c r="A93" s="70"/>
      <c r="C93" s="70"/>
      <c r="D93" s="70"/>
      <c r="E93" s="72"/>
      <c r="F93" s="72"/>
      <c r="G93" s="70"/>
    </row>
    <row r="94" spans="1:7">
      <c r="A94" s="333" t="s">
        <v>129</v>
      </c>
      <c r="B94" s="334"/>
      <c r="C94" s="334"/>
      <c r="D94" s="334"/>
      <c r="E94" s="334"/>
      <c r="F94" s="334"/>
      <c r="G94" s="335"/>
    </row>
    <row r="95" spans="1:7" ht="25.5">
      <c r="A95" s="73" t="s">
        <v>23</v>
      </c>
      <c r="B95" s="73" t="s">
        <v>22</v>
      </c>
      <c r="C95" s="73" t="s">
        <v>24</v>
      </c>
      <c r="D95" s="73" t="s">
        <v>128</v>
      </c>
      <c r="E95" s="73" t="s">
        <v>261</v>
      </c>
      <c r="F95" s="73" t="s">
        <v>262</v>
      </c>
      <c r="G95" s="73" t="s">
        <v>127</v>
      </c>
    </row>
    <row r="96" spans="1:7" ht="25.5">
      <c r="A96" s="56">
        <v>1</v>
      </c>
      <c r="B96" s="69" t="s">
        <v>298</v>
      </c>
      <c r="C96" s="56" t="s">
        <v>24</v>
      </c>
      <c r="D96" s="56">
        <v>6</v>
      </c>
      <c r="E96" s="58">
        <v>6.87</v>
      </c>
      <c r="F96" s="58">
        <f t="shared" ref="F96:F123" si="3">D96*E96</f>
        <v>41.22</v>
      </c>
      <c r="G96" s="56" t="s">
        <v>126</v>
      </c>
    </row>
    <row r="97" spans="1:7" ht="25.5">
      <c r="A97" s="56">
        <v>2</v>
      </c>
      <c r="B97" s="69" t="s">
        <v>299</v>
      </c>
      <c r="C97" s="56" t="s">
        <v>24</v>
      </c>
      <c r="D97" s="56">
        <v>2</v>
      </c>
      <c r="E97" s="58">
        <v>69.040000000000006</v>
      </c>
      <c r="F97" s="58">
        <f t="shared" si="3"/>
        <v>138.08000000000001</v>
      </c>
      <c r="G97" s="56" t="s">
        <v>120</v>
      </c>
    </row>
    <row r="98" spans="1:7" ht="25.5">
      <c r="A98" s="56">
        <v>3</v>
      </c>
      <c r="B98" s="69" t="s">
        <v>300</v>
      </c>
      <c r="C98" s="56" t="s">
        <v>24</v>
      </c>
      <c r="D98" s="56">
        <v>3</v>
      </c>
      <c r="E98" s="58">
        <v>28.39</v>
      </c>
      <c r="F98" s="58">
        <f t="shared" si="3"/>
        <v>85.17</v>
      </c>
      <c r="G98" s="56" t="s">
        <v>125</v>
      </c>
    </row>
    <row r="99" spans="1:7" ht="25.5">
      <c r="A99" s="56">
        <v>4</v>
      </c>
      <c r="B99" s="69" t="s">
        <v>301</v>
      </c>
      <c r="C99" s="56" t="s">
        <v>24</v>
      </c>
      <c r="D99" s="56">
        <v>2</v>
      </c>
      <c r="E99" s="58">
        <v>51.39</v>
      </c>
      <c r="F99" s="58">
        <f t="shared" si="3"/>
        <v>102.78</v>
      </c>
      <c r="G99" s="56" t="s">
        <v>120</v>
      </c>
    </row>
    <row r="100" spans="1:7" ht="25.5">
      <c r="A100" s="56">
        <v>5</v>
      </c>
      <c r="B100" s="69" t="s">
        <v>302</v>
      </c>
      <c r="C100" s="56" t="s">
        <v>24</v>
      </c>
      <c r="D100" s="56">
        <v>2</v>
      </c>
      <c r="E100" s="58">
        <v>36.36</v>
      </c>
      <c r="F100" s="58">
        <f t="shared" si="3"/>
        <v>72.72</v>
      </c>
      <c r="G100" s="56" t="s">
        <v>120</v>
      </c>
    </row>
    <row r="101" spans="1:7" ht="25.5">
      <c r="A101" s="56">
        <v>6</v>
      </c>
      <c r="B101" s="69" t="s">
        <v>303</v>
      </c>
      <c r="C101" s="56" t="s">
        <v>24</v>
      </c>
      <c r="D101" s="56">
        <v>4</v>
      </c>
      <c r="E101" s="58">
        <v>114.65</v>
      </c>
      <c r="F101" s="58">
        <f t="shared" si="3"/>
        <v>458.6</v>
      </c>
      <c r="G101" s="56" t="s">
        <v>124</v>
      </c>
    </row>
    <row r="102" spans="1:7" ht="25.5">
      <c r="A102" s="56">
        <v>7</v>
      </c>
      <c r="B102" s="69" t="s">
        <v>304</v>
      </c>
      <c r="C102" s="56" t="s">
        <v>24</v>
      </c>
      <c r="D102" s="56">
        <v>2</v>
      </c>
      <c r="E102" s="58">
        <v>134.08000000000001</v>
      </c>
      <c r="F102" s="58">
        <f t="shared" si="3"/>
        <v>268.16000000000003</v>
      </c>
      <c r="G102" s="56" t="s">
        <v>123</v>
      </c>
    </row>
    <row r="103" spans="1:7" ht="25.5">
      <c r="A103" s="56">
        <v>8</v>
      </c>
      <c r="B103" s="69" t="s">
        <v>305</v>
      </c>
      <c r="C103" s="56" t="s">
        <v>24</v>
      </c>
      <c r="D103" s="56">
        <v>3</v>
      </c>
      <c r="E103" s="58">
        <v>114.65</v>
      </c>
      <c r="F103" s="58">
        <f t="shared" si="3"/>
        <v>343.95000000000005</v>
      </c>
      <c r="G103" s="56" t="s">
        <v>122</v>
      </c>
    </row>
    <row r="104" spans="1:7" ht="38.25">
      <c r="A104" s="56">
        <v>9</v>
      </c>
      <c r="B104" s="63" t="s">
        <v>121</v>
      </c>
      <c r="C104" s="56" t="s">
        <v>24</v>
      </c>
      <c r="D104" s="56">
        <v>1</v>
      </c>
      <c r="E104" s="58">
        <v>74.849999999999994</v>
      </c>
      <c r="F104" s="58">
        <f t="shared" si="3"/>
        <v>74.849999999999994</v>
      </c>
      <c r="G104" s="56" t="s">
        <v>120</v>
      </c>
    </row>
    <row r="105" spans="1:7" ht="38.25">
      <c r="A105" s="56">
        <v>10</v>
      </c>
      <c r="B105" s="63" t="s">
        <v>119</v>
      </c>
      <c r="C105" s="56" t="s">
        <v>103</v>
      </c>
      <c r="D105" s="56">
        <v>30</v>
      </c>
      <c r="E105" s="58">
        <v>2.94</v>
      </c>
      <c r="F105" s="58">
        <f t="shared" si="3"/>
        <v>88.2</v>
      </c>
      <c r="G105" s="56" t="s">
        <v>118</v>
      </c>
    </row>
    <row r="106" spans="1:7" ht="38.25">
      <c r="A106" s="56">
        <v>11</v>
      </c>
      <c r="B106" s="63" t="s">
        <v>117</v>
      </c>
      <c r="C106" s="56" t="s">
        <v>103</v>
      </c>
      <c r="D106" s="56">
        <v>150</v>
      </c>
      <c r="E106" s="58">
        <v>0.33</v>
      </c>
      <c r="F106" s="58">
        <f t="shared" si="3"/>
        <v>49.5</v>
      </c>
      <c r="G106" s="56" t="s">
        <v>116</v>
      </c>
    </row>
    <row r="107" spans="1:7" ht="25.5">
      <c r="A107" s="56">
        <v>12</v>
      </c>
      <c r="B107" s="69" t="s">
        <v>306</v>
      </c>
      <c r="C107" s="56" t="s">
        <v>103</v>
      </c>
      <c r="D107" s="56">
        <v>90</v>
      </c>
      <c r="E107" s="58">
        <v>11.12</v>
      </c>
      <c r="F107" s="58">
        <f t="shared" si="3"/>
        <v>1000.8</v>
      </c>
      <c r="G107" s="56" t="s">
        <v>115</v>
      </c>
    </row>
    <row r="108" spans="1:7" ht="25.5">
      <c r="A108" s="56">
        <v>13</v>
      </c>
      <c r="B108" s="63" t="s">
        <v>114</v>
      </c>
      <c r="C108" s="56" t="s">
        <v>95</v>
      </c>
      <c r="D108" s="56">
        <v>10</v>
      </c>
      <c r="E108" s="64">
        <v>76.56</v>
      </c>
      <c r="F108" s="64">
        <f t="shared" si="3"/>
        <v>765.6</v>
      </c>
      <c r="G108" s="56" t="s">
        <v>113</v>
      </c>
    </row>
    <row r="109" spans="1:7" ht="25.5">
      <c r="A109" s="56">
        <v>14</v>
      </c>
      <c r="B109" s="63" t="s">
        <v>112</v>
      </c>
      <c r="C109" s="56" t="s">
        <v>109</v>
      </c>
      <c r="D109" s="56">
        <v>18</v>
      </c>
      <c r="E109" s="64">
        <v>4.57</v>
      </c>
      <c r="F109" s="64">
        <f t="shared" si="3"/>
        <v>82.26</v>
      </c>
      <c r="G109" s="56" t="s">
        <v>111</v>
      </c>
    </row>
    <row r="110" spans="1:7" ht="63.75">
      <c r="A110" s="56">
        <v>15</v>
      </c>
      <c r="B110" s="63" t="s">
        <v>110</v>
      </c>
      <c r="C110" s="56" t="s">
        <v>109</v>
      </c>
      <c r="D110" s="56">
        <v>50</v>
      </c>
      <c r="E110" s="64">
        <v>2.54</v>
      </c>
      <c r="F110" s="64">
        <f t="shared" si="3"/>
        <v>127</v>
      </c>
      <c r="G110" s="56" t="s">
        <v>108</v>
      </c>
    </row>
    <row r="111" spans="1:7" ht="28.5">
      <c r="A111" s="56">
        <v>16</v>
      </c>
      <c r="B111" s="62" t="s">
        <v>307</v>
      </c>
      <c r="C111" s="56" t="s">
        <v>24</v>
      </c>
      <c r="D111" s="56">
        <v>1</v>
      </c>
      <c r="E111" s="58">
        <v>794.33</v>
      </c>
      <c r="F111" s="58">
        <f t="shared" si="3"/>
        <v>794.33</v>
      </c>
      <c r="G111" s="56" t="s">
        <v>107</v>
      </c>
    </row>
    <row r="112" spans="1:7" ht="37.700000000000003" customHeight="1">
      <c r="A112" s="56">
        <v>17</v>
      </c>
      <c r="B112" s="63" t="s">
        <v>106</v>
      </c>
      <c r="C112" s="56" t="s">
        <v>103</v>
      </c>
      <c r="D112" s="56">
        <v>60</v>
      </c>
      <c r="E112" s="58">
        <v>10.81</v>
      </c>
      <c r="F112" s="58">
        <f t="shared" si="3"/>
        <v>648.6</v>
      </c>
      <c r="G112" s="56" t="s">
        <v>105</v>
      </c>
    </row>
    <row r="113" spans="1:7" ht="38.25">
      <c r="A113" s="56">
        <v>18</v>
      </c>
      <c r="B113" s="63" t="s">
        <v>104</v>
      </c>
      <c r="C113" s="56" t="s">
        <v>103</v>
      </c>
      <c r="D113" s="56">
        <v>90</v>
      </c>
      <c r="E113" s="58">
        <v>8.18</v>
      </c>
      <c r="F113" s="58">
        <f t="shared" si="3"/>
        <v>736.19999999999993</v>
      </c>
      <c r="G113" s="56" t="s">
        <v>102</v>
      </c>
    </row>
    <row r="114" spans="1:7">
      <c r="A114" s="56">
        <v>19</v>
      </c>
      <c r="B114" s="63" t="s">
        <v>101</v>
      </c>
      <c r="C114" s="56" t="s">
        <v>24</v>
      </c>
      <c r="D114" s="56">
        <v>30</v>
      </c>
      <c r="E114" s="58">
        <v>15.07</v>
      </c>
      <c r="F114" s="58">
        <f t="shared" si="3"/>
        <v>452.1</v>
      </c>
      <c r="G114" s="56" t="s">
        <v>99</v>
      </c>
    </row>
    <row r="115" spans="1:7">
      <c r="A115" s="56">
        <v>20</v>
      </c>
      <c r="B115" s="63" t="s">
        <v>100</v>
      </c>
      <c r="C115" s="56" t="s">
        <v>24</v>
      </c>
      <c r="D115" s="56">
        <v>30</v>
      </c>
      <c r="E115" s="58">
        <v>15.07</v>
      </c>
      <c r="F115" s="58">
        <f t="shared" si="3"/>
        <v>452.1</v>
      </c>
      <c r="G115" s="56" t="s">
        <v>99</v>
      </c>
    </row>
    <row r="116" spans="1:7">
      <c r="A116" s="56">
        <v>21</v>
      </c>
      <c r="B116" s="63" t="s">
        <v>98</v>
      </c>
      <c r="C116" s="56" t="s">
        <v>95</v>
      </c>
      <c r="D116" s="56">
        <v>3</v>
      </c>
      <c r="E116" s="58">
        <v>206.84</v>
      </c>
      <c r="F116" s="58">
        <f t="shared" si="3"/>
        <v>620.52</v>
      </c>
      <c r="G116" s="56" t="s">
        <v>96</v>
      </c>
    </row>
    <row r="117" spans="1:7">
      <c r="A117" s="56">
        <v>22</v>
      </c>
      <c r="B117" s="63" t="s">
        <v>97</v>
      </c>
      <c r="C117" s="56" t="s">
        <v>95</v>
      </c>
      <c r="D117" s="56">
        <v>3</v>
      </c>
      <c r="E117" s="58">
        <v>206.84</v>
      </c>
      <c r="F117" s="58">
        <f t="shared" si="3"/>
        <v>620.52</v>
      </c>
      <c r="G117" s="56" t="s">
        <v>96</v>
      </c>
    </row>
    <row r="118" spans="1:7" ht="28.5">
      <c r="A118" s="56">
        <v>23</v>
      </c>
      <c r="B118" s="62" t="s">
        <v>283</v>
      </c>
      <c r="C118" s="56" t="s">
        <v>95</v>
      </c>
      <c r="D118" s="56">
        <v>21.6</v>
      </c>
      <c r="E118" s="58">
        <v>19.68</v>
      </c>
      <c r="F118" s="58">
        <f t="shared" si="3"/>
        <v>425.08800000000002</v>
      </c>
      <c r="G118" s="56" t="s">
        <v>94</v>
      </c>
    </row>
    <row r="119" spans="1:7" ht="28.5">
      <c r="A119" s="56">
        <v>24</v>
      </c>
      <c r="B119" s="62" t="s">
        <v>284</v>
      </c>
      <c r="C119" s="56" t="s">
        <v>95</v>
      </c>
      <c r="D119" s="56">
        <v>25.92</v>
      </c>
      <c r="E119" s="58">
        <v>19.68</v>
      </c>
      <c r="F119" s="58">
        <f t="shared" si="3"/>
        <v>510.10560000000004</v>
      </c>
      <c r="G119" s="56" t="s">
        <v>94</v>
      </c>
    </row>
    <row r="120" spans="1:7" ht="42.75">
      <c r="A120" s="56">
        <v>25</v>
      </c>
      <c r="B120" s="62" t="s">
        <v>285</v>
      </c>
      <c r="C120" s="56" t="s">
        <v>24</v>
      </c>
      <c r="D120" s="56">
        <v>10.8</v>
      </c>
      <c r="E120" s="58">
        <v>28.78</v>
      </c>
      <c r="F120" s="58">
        <f t="shared" si="3"/>
        <v>310.82400000000001</v>
      </c>
      <c r="G120" s="56" t="s">
        <v>93</v>
      </c>
    </row>
    <row r="121" spans="1:7" ht="14.25">
      <c r="A121" s="56">
        <v>26</v>
      </c>
      <c r="B121" s="62" t="s">
        <v>286</v>
      </c>
      <c r="C121" s="56" t="s">
        <v>24</v>
      </c>
      <c r="D121" s="56">
        <v>4</v>
      </c>
      <c r="E121" s="58">
        <v>236.77</v>
      </c>
      <c r="F121" s="58">
        <f t="shared" si="3"/>
        <v>947.08</v>
      </c>
      <c r="G121" s="56" t="s">
        <v>92</v>
      </c>
    </row>
    <row r="122" spans="1:7" ht="38.25">
      <c r="A122" s="56">
        <v>27</v>
      </c>
      <c r="B122" s="63" t="s">
        <v>89</v>
      </c>
      <c r="C122" s="56" t="s">
        <v>88</v>
      </c>
      <c r="D122" s="56">
        <v>36</v>
      </c>
      <c r="E122" s="58">
        <v>23.1</v>
      </c>
      <c r="F122" s="58">
        <f t="shared" si="3"/>
        <v>831.6</v>
      </c>
      <c r="G122" s="56" t="s">
        <v>87</v>
      </c>
    </row>
    <row r="123" spans="1:7">
      <c r="A123" s="56">
        <v>28</v>
      </c>
      <c r="B123" s="63" t="s">
        <v>91</v>
      </c>
      <c r="C123" s="56" t="s">
        <v>24</v>
      </c>
      <c r="D123" s="56">
        <v>10</v>
      </c>
      <c r="E123" s="58">
        <v>35</v>
      </c>
      <c r="F123" s="58">
        <f t="shared" si="3"/>
        <v>350</v>
      </c>
      <c r="G123" s="56" t="s">
        <v>90</v>
      </c>
    </row>
    <row r="124" spans="1:7">
      <c r="A124" s="53"/>
      <c r="B124" s="52" t="s">
        <v>86</v>
      </c>
      <c r="C124" s="53"/>
      <c r="D124" s="53"/>
      <c r="E124" s="53"/>
      <c r="F124" s="66">
        <f>SUM(F4:F123)</f>
        <v>25995.403600000001</v>
      </c>
      <c r="G124" s="53"/>
    </row>
    <row r="125" spans="1:7">
      <c r="A125" s="53"/>
      <c r="B125" s="52" t="s">
        <v>85</v>
      </c>
      <c r="C125" s="53"/>
      <c r="D125" s="53"/>
      <c r="E125" s="53"/>
      <c r="F125" s="77">
        <f>'Cálculo do BDI'!C50</f>
        <v>0.1089</v>
      </c>
      <c r="G125" s="53"/>
    </row>
    <row r="126" spans="1:7">
      <c r="A126" s="53"/>
      <c r="B126" s="54" t="s">
        <v>84</v>
      </c>
      <c r="C126" s="55"/>
      <c r="D126" s="55"/>
      <c r="E126" s="55"/>
      <c r="F126" s="67">
        <f>F124*(1+F125)</f>
        <v>28826.303052040003</v>
      </c>
      <c r="G126" s="53"/>
    </row>
  </sheetData>
  <sheetProtection sheet="1" objects="1" scenarios="1"/>
  <mergeCells count="4">
    <mergeCell ref="A1:G1"/>
    <mergeCell ref="A2:G2"/>
    <mergeCell ref="A29:G29"/>
    <mergeCell ref="A94:G94"/>
  </mergeCells>
  <printOptions horizontalCentered="1"/>
  <pageMargins left="0" right="0" top="1.1811023622047245" bottom="1.1236220472440945" header="0.78740157480314954" footer="0.72992125984251977"/>
  <pageSetup paperSize="9" scale="56" fitToWidth="0" fitToHeight="0" pageOrder="overThenDown" orientation="portrait" useFirstPageNumber="1" r:id="rId1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5A988-B9E7-4B02-A976-E5B471B3CE4C}">
  <dimension ref="A1:AMJ34"/>
  <sheetViews>
    <sheetView zoomScale="140" zoomScaleNormal="140" workbookViewId="0">
      <selection activeCell="D41" sqref="D41"/>
    </sheetView>
  </sheetViews>
  <sheetFormatPr defaultColWidth="9.140625" defaultRowHeight="16.5"/>
  <cols>
    <col min="1" max="1" width="2.7109375" style="78" customWidth="1"/>
    <col min="2" max="2" width="8.85546875" style="78" customWidth="1"/>
    <col min="3" max="3" width="52.5703125" style="78" customWidth="1"/>
    <col min="4" max="4" width="22" style="78" customWidth="1"/>
    <col min="5" max="5" width="13.5703125" style="78" customWidth="1"/>
    <col min="6" max="6" width="43.85546875" style="78" customWidth="1"/>
    <col min="7" max="7" width="51.7109375" style="78" customWidth="1"/>
    <col min="8" max="1024" width="9.140625" style="78"/>
  </cols>
  <sheetData>
    <row r="1" spans="2:7" s="79" customFormat="1" ht="25.5">
      <c r="B1" s="107" t="s">
        <v>414</v>
      </c>
      <c r="C1" s="78"/>
      <c r="D1" s="78"/>
      <c r="E1" s="78"/>
      <c r="F1" s="78"/>
      <c r="G1" s="78"/>
    </row>
    <row r="2" spans="2:7">
      <c r="B2" s="85" t="s">
        <v>348</v>
      </c>
      <c r="E2" s="89"/>
    </row>
    <row r="3" spans="2:7">
      <c r="B3" s="85" t="s">
        <v>349</v>
      </c>
      <c r="C3" s="90"/>
      <c r="D3" s="91"/>
      <c r="E3" s="92"/>
    </row>
    <row r="4" spans="2:7">
      <c r="B4" s="80" t="s">
        <v>350</v>
      </c>
      <c r="C4" s="337" t="s">
        <v>351</v>
      </c>
      <c r="D4" s="337"/>
      <c r="E4" s="87" t="s">
        <v>352</v>
      </c>
      <c r="F4" s="87" t="s">
        <v>415</v>
      </c>
    </row>
    <row r="5" spans="2:7" ht="16.5" customHeight="1">
      <c r="B5" s="80" t="s">
        <v>316</v>
      </c>
      <c r="C5" s="336" t="s">
        <v>353</v>
      </c>
      <c r="D5" s="336"/>
      <c r="E5" s="93">
        <f>(1/MESES_NO_ANO)*100</f>
        <v>8.3333333333333321</v>
      </c>
      <c r="F5" s="93" t="s">
        <v>416</v>
      </c>
    </row>
    <row r="6" spans="2:7" s="78" customFormat="1" ht="16.5" customHeight="1">
      <c r="B6" s="87" t="s">
        <v>318</v>
      </c>
      <c r="C6" s="338" t="s">
        <v>354</v>
      </c>
      <c r="D6" s="338"/>
      <c r="E6" s="95">
        <f>(1/3)/MESES_NO_ANO*100</f>
        <v>2.7777777777777777</v>
      </c>
      <c r="F6" s="95" t="s">
        <v>417</v>
      </c>
    </row>
    <row r="7" spans="2:7" s="97" customFormat="1" ht="16.5" customHeight="1">
      <c r="B7" s="339" t="s">
        <v>355</v>
      </c>
      <c r="C7" s="339"/>
      <c r="D7" s="339"/>
      <c r="E7" s="339"/>
      <c r="F7" s="339"/>
    </row>
    <row r="8" spans="2:7" s="97" customFormat="1" ht="34.5" customHeight="1">
      <c r="B8" s="80" t="s">
        <v>356</v>
      </c>
      <c r="C8" s="340" t="s">
        <v>357</v>
      </c>
      <c r="D8" s="340"/>
      <c r="E8" s="87" t="s">
        <v>352</v>
      </c>
    </row>
    <row r="9" spans="2:7" ht="16.5" customHeight="1">
      <c r="B9" s="80" t="s">
        <v>316</v>
      </c>
      <c r="C9" s="336" t="s">
        <v>358</v>
      </c>
      <c r="D9" s="336"/>
      <c r="E9" s="93">
        <v>20</v>
      </c>
    </row>
    <row r="10" spans="2:7" s="79" customFormat="1" ht="16.5" customHeight="1">
      <c r="B10" s="87" t="s">
        <v>318</v>
      </c>
      <c r="C10" s="338" t="s">
        <v>359</v>
      </c>
      <c r="D10" s="338"/>
      <c r="E10" s="98">
        <v>2.5</v>
      </c>
    </row>
    <row r="11" spans="2:7" s="79" customFormat="1" ht="16.5" customHeight="1">
      <c r="B11" s="87" t="s">
        <v>320</v>
      </c>
      <c r="C11" s="336" t="s">
        <v>360</v>
      </c>
      <c r="D11" s="336"/>
      <c r="E11" s="93">
        <v>3</v>
      </c>
    </row>
    <row r="12" spans="2:7" s="79" customFormat="1" ht="16.5" customHeight="1">
      <c r="B12" s="87" t="s">
        <v>323</v>
      </c>
      <c r="C12" s="338" t="s">
        <v>361</v>
      </c>
      <c r="D12" s="338"/>
      <c r="E12" s="95">
        <v>1.5</v>
      </c>
    </row>
    <row r="13" spans="2:7" s="79" customFormat="1" ht="16.5" customHeight="1">
      <c r="B13" s="87" t="s">
        <v>325</v>
      </c>
      <c r="C13" s="336" t="s">
        <v>362</v>
      </c>
      <c r="D13" s="336"/>
      <c r="E13" s="93">
        <v>1</v>
      </c>
    </row>
    <row r="14" spans="2:7" s="79" customFormat="1" ht="16.5" customHeight="1">
      <c r="B14" s="87" t="s">
        <v>344</v>
      </c>
      <c r="C14" s="338" t="s">
        <v>363</v>
      </c>
      <c r="D14" s="338"/>
      <c r="E14" s="98">
        <v>0.6</v>
      </c>
    </row>
    <row r="15" spans="2:7" s="79" customFormat="1" ht="16.5" customHeight="1">
      <c r="B15" s="87" t="s">
        <v>345</v>
      </c>
      <c r="C15" s="336" t="s">
        <v>364</v>
      </c>
      <c r="D15" s="336"/>
      <c r="E15" s="93">
        <v>0.2</v>
      </c>
    </row>
    <row r="16" spans="2:7" ht="16.5" customHeight="1">
      <c r="B16" s="87" t="s">
        <v>346</v>
      </c>
      <c r="C16" s="338" t="s">
        <v>365</v>
      </c>
      <c r="D16" s="338"/>
      <c r="E16" s="98">
        <v>8</v>
      </c>
    </row>
    <row r="17" spans="2:6">
      <c r="B17" s="337" t="s">
        <v>347</v>
      </c>
      <c r="C17" s="337"/>
      <c r="D17" s="337"/>
      <c r="E17" s="108">
        <f>SUM(E9:E16)</f>
        <v>36.799999999999997</v>
      </c>
    </row>
    <row r="18" spans="2:6" s="97" customFormat="1">
      <c r="B18" s="85" t="s">
        <v>371</v>
      </c>
      <c r="C18" s="90"/>
      <c r="D18" s="91"/>
      <c r="E18" s="92"/>
    </row>
    <row r="19" spans="2:6" s="97" customFormat="1" ht="15" customHeight="1">
      <c r="B19" s="80">
        <v>3</v>
      </c>
      <c r="C19" s="337" t="s">
        <v>372</v>
      </c>
      <c r="D19" s="337"/>
      <c r="E19" s="87" t="s">
        <v>352</v>
      </c>
      <c r="F19" s="87" t="s">
        <v>415</v>
      </c>
    </row>
    <row r="20" spans="2:6" s="97" customFormat="1">
      <c r="B20" s="80" t="s">
        <v>316</v>
      </c>
      <c r="C20" s="341" t="s">
        <v>373</v>
      </c>
      <c r="D20" s="341"/>
      <c r="E20" s="93">
        <f>PERC_EMPREG_DEMIT_SEM_JUSTA_CAUSA_TOTAL_DESLIG%*PERC_EMPREG_AVISO_PREVIO_IND%*1/MESES_NO_ANO*100</f>
        <v>0.29105124999999998</v>
      </c>
      <c r="F20" s="93" t="s">
        <v>418</v>
      </c>
    </row>
    <row r="21" spans="2:6" s="97" customFormat="1">
      <c r="B21" s="87" t="s">
        <v>318</v>
      </c>
      <c r="C21" s="342" t="s">
        <v>374</v>
      </c>
      <c r="D21" s="342"/>
      <c r="E21" s="98">
        <f>PERC_EMPREG_DEMIT_SEM_JUSTA_CAUSA_TOTAL_DESLIG%*PERC_EMPREG_AVISO_PREVIO_TRAB%*(DIAS_NA_SEMANA/DIAS_NO_MES)/MESES_NO_ANO*100</f>
        <v>1.1557269305555555</v>
      </c>
      <c r="F21" s="95" t="s">
        <v>419</v>
      </c>
    </row>
    <row r="22" spans="2:6" s="79" customFormat="1" ht="16.5" customHeight="1">
      <c r="B22" s="87" t="s">
        <v>320</v>
      </c>
      <c r="C22" s="341" t="s">
        <v>375</v>
      </c>
      <c r="D22" s="341"/>
      <c r="E22" s="93">
        <f>ROUNDUP(PERC_AVISO_PREVIO_TRAB%*(PERC_MULTA_FGTS%)*PERC_FGTS%*100,2)</f>
        <v>0.04</v>
      </c>
      <c r="F22" s="93" t="s">
        <v>420</v>
      </c>
    </row>
    <row r="23" spans="2:6" s="79" customFormat="1" ht="15.95" customHeight="1">
      <c r="B23" s="85" t="s">
        <v>376</v>
      </c>
      <c r="C23" s="90"/>
      <c r="D23" s="91"/>
      <c r="E23" s="78"/>
    </row>
    <row r="24" spans="2:6" s="79" customFormat="1" ht="15.95" customHeight="1">
      <c r="B24" s="85" t="s">
        <v>377</v>
      </c>
      <c r="C24" s="90"/>
      <c r="D24" s="91"/>
      <c r="E24" s="92"/>
    </row>
    <row r="25" spans="2:6" s="79" customFormat="1" ht="16.5" customHeight="1">
      <c r="B25" s="80" t="s">
        <v>378</v>
      </c>
      <c r="C25" s="344" t="s">
        <v>379</v>
      </c>
      <c r="D25" s="344"/>
      <c r="E25" s="87" t="s">
        <v>352</v>
      </c>
      <c r="F25" s="87" t="s">
        <v>415</v>
      </c>
    </row>
    <row r="26" spans="2:6" s="79" customFormat="1" ht="15.95" customHeight="1">
      <c r="B26" s="87" t="s">
        <v>316</v>
      </c>
      <c r="C26" s="336" t="s">
        <v>380</v>
      </c>
      <c r="D26" s="336"/>
      <c r="E26" s="93">
        <f>(1/MESES_NO_ANO)*100</f>
        <v>8.3333333333333321</v>
      </c>
      <c r="F26" s="93" t="s">
        <v>421</v>
      </c>
    </row>
    <row r="27" spans="2:6" s="79" customFormat="1" ht="15.95" customHeight="1">
      <c r="B27" s="87" t="s">
        <v>318</v>
      </c>
      <c r="C27" s="88" t="s">
        <v>381</v>
      </c>
      <c r="D27" s="88"/>
      <c r="E27" s="98">
        <f>(DIAS_AUSENCIAS_LEGAIS/DIAS_NO_MES)/MESES_NO_ANO*100</f>
        <v>2.2222222222222223</v>
      </c>
      <c r="F27" s="95" t="s">
        <v>422</v>
      </c>
    </row>
    <row r="28" spans="2:6" s="79" customFormat="1" ht="15.95" customHeight="1">
      <c r="B28" s="87" t="s">
        <v>320</v>
      </c>
      <c r="C28" s="336" t="s">
        <v>382</v>
      </c>
      <c r="D28" s="336"/>
      <c r="E28" s="93">
        <f>(((DIAS_LICENCA_PATERNIDADE/DIAS_NO_MES)/MESES_NO_ANO)*PERC_NASCIDOS_VIVOS_POPUL_FEM%*PERC_PARTIC_MASC_VIGIL%)*100</f>
        <v>3.5673555555555549E-2</v>
      </c>
      <c r="F28" s="93" t="s">
        <v>423</v>
      </c>
    </row>
    <row r="29" spans="2:6" s="79" customFormat="1" ht="16.5" customHeight="1">
      <c r="B29" s="87" t="s">
        <v>323</v>
      </c>
      <c r="C29" s="338" t="s">
        <v>383</v>
      </c>
      <c r="D29" s="338"/>
      <c r="E29" s="98">
        <f>(DIAS_PAGOS_EMPRESA_ACID_TRAB/DIAS_NO_MES)/MESES_NO_ANO*PERC_EMPREG_AFAST_TRAB%*100</f>
        <v>1.85302229372558E-2</v>
      </c>
      <c r="F29" s="95" t="s">
        <v>424</v>
      </c>
    </row>
    <row r="30" spans="2:6" s="79" customFormat="1" ht="33" customHeight="1">
      <c r="B30" s="87" t="s">
        <v>325</v>
      </c>
      <c r="C30" s="336" t="s">
        <v>384</v>
      </c>
      <c r="D30" s="336"/>
      <c r="E30" s="93">
        <f>(((DIAS_LICENCA_MATERNIDADE/DIAS_NO_MES)/MESES_NO_ANO)*PERC_NASCIDOS_VIVOS_POPUL_FEM%*PERC_PARTIC_FEM_VIGIL%*PERC_GPS_FGTS%*100)</f>
        <v>0.14312918399999999</v>
      </c>
      <c r="F30" s="93" t="s">
        <v>425</v>
      </c>
    </row>
    <row r="31" spans="2:6" s="79" customFormat="1">
      <c r="B31" s="87" t="s">
        <v>344</v>
      </c>
      <c r="C31" s="338" t="str">
        <f>OUTRAS_AUSENCIAS_DESCRICAO</f>
        <v>Outras Ausências (Especificar - em %)</v>
      </c>
      <c r="D31" s="338"/>
      <c r="E31" s="98">
        <f>PERC_SUBSTITUTO_OUTRAS_AUSENCIAS</f>
        <v>0</v>
      </c>
      <c r="F31" s="95"/>
    </row>
    <row r="33" spans="2:7" ht="20.25">
      <c r="B33" s="109" t="s">
        <v>426</v>
      </c>
    </row>
    <row r="34" spans="2:7" ht="42.75" customHeight="1">
      <c r="B34" s="343" t="s">
        <v>427</v>
      </c>
      <c r="C34" s="343"/>
      <c r="D34" s="343"/>
      <c r="E34" s="343"/>
      <c r="G34" s="110"/>
    </row>
  </sheetData>
  <sheetProtection sheet="1" objects="1" scenarios="1"/>
  <mergeCells count="25">
    <mergeCell ref="B34:E34"/>
    <mergeCell ref="C25:D25"/>
    <mergeCell ref="C26:D26"/>
    <mergeCell ref="C28:D28"/>
    <mergeCell ref="C29:D29"/>
    <mergeCell ref="C30:D30"/>
    <mergeCell ref="C31:D31"/>
    <mergeCell ref="C22:D22"/>
    <mergeCell ref="C10:D10"/>
    <mergeCell ref="C11:D11"/>
    <mergeCell ref="C12:D12"/>
    <mergeCell ref="C13:D13"/>
    <mergeCell ref="C14:D14"/>
    <mergeCell ref="C15:D15"/>
    <mergeCell ref="C16:D16"/>
    <mergeCell ref="B17:D17"/>
    <mergeCell ref="C19:D19"/>
    <mergeCell ref="C20:D20"/>
    <mergeCell ref="C21:D21"/>
    <mergeCell ref="C9:D9"/>
    <mergeCell ref="C4:D4"/>
    <mergeCell ref="C5:D5"/>
    <mergeCell ref="C6:D6"/>
    <mergeCell ref="B7:F7"/>
    <mergeCell ref="C8:D8"/>
  </mergeCells>
  <dataValidations count="2"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 xr:uid="{0E5D6CE2-733C-4329-847B-0C906C90CB95}">
      <formula1>0</formula1>
      <formula2>1.94</formula2>
    </dataValidation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 xr:uid="{0DA38F3F-1FA5-4086-BAF0-E6741854D319}">
      <formula1>0</formula1>
      <formula2>0.46</formula2>
    </dataValidation>
  </dataValidations>
  <pageMargins left="0.179861111111111" right="0.17013888888888901" top="0.1" bottom="2.9861111111111099E-2" header="0.51180555555555496" footer="0.51180555555555496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B0392-8A93-4ABB-B201-F264BA844C57}">
  <dimension ref="A1:AMJ42"/>
  <sheetViews>
    <sheetView zoomScale="140" zoomScaleNormal="140" workbookViewId="0">
      <selection activeCell="F14" sqref="F14"/>
    </sheetView>
  </sheetViews>
  <sheetFormatPr defaultColWidth="9.140625" defaultRowHeight="16.5"/>
  <cols>
    <col min="1" max="1" width="2.7109375" style="78" customWidth="1"/>
    <col min="2" max="2" width="8.85546875" style="78" customWidth="1"/>
    <col min="3" max="3" width="52.5703125" style="78" customWidth="1"/>
    <col min="4" max="4" width="9.5703125" style="78" customWidth="1"/>
    <col min="5" max="5" width="13.5703125" style="78" customWidth="1"/>
    <col min="6" max="6" width="15.42578125" style="78" customWidth="1"/>
    <col min="7" max="1024" width="9.140625" style="78"/>
  </cols>
  <sheetData>
    <row r="1" spans="1:6" s="79" customFormat="1" ht="25.5">
      <c r="B1" s="107" t="s">
        <v>428</v>
      </c>
      <c r="C1" s="78"/>
      <c r="D1" s="78"/>
      <c r="E1" s="78"/>
      <c r="F1" s="78"/>
    </row>
    <row r="2" spans="1:6">
      <c r="B2" s="85" t="s">
        <v>336</v>
      </c>
      <c r="E2" s="86"/>
      <c r="F2" s="86"/>
    </row>
    <row r="3" spans="1:6" ht="33" customHeight="1">
      <c r="B3" s="80">
        <v>1</v>
      </c>
      <c r="C3" s="344" t="s">
        <v>337</v>
      </c>
      <c r="D3" s="344"/>
      <c r="E3" s="344"/>
      <c r="F3" s="87" t="s">
        <v>429</v>
      </c>
    </row>
    <row r="4" spans="1:6" ht="16.5" customHeight="1">
      <c r="B4" s="80" t="s">
        <v>325</v>
      </c>
      <c r="C4" s="336" t="s">
        <v>430</v>
      </c>
      <c r="D4" s="336"/>
      <c r="E4" s="336"/>
      <c r="F4" s="111">
        <v>220</v>
      </c>
    </row>
    <row r="5" spans="1:6" ht="16.5" customHeight="1">
      <c r="B5" s="80" t="s">
        <v>344</v>
      </c>
      <c r="C5" s="345" t="s">
        <v>431</v>
      </c>
      <c r="D5" s="345"/>
      <c r="E5" s="345"/>
      <c r="F5" s="112">
        <v>7</v>
      </c>
    </row>
    <row r="6" spans="1:6" ht="16.5" customHeight="1">
      <c r="B6" s="80" t="s">
        <v>345</v>
      </c>
      <c r="C6" s="336" t="s">
        <v>432</v>
      </c>
      <c r="D6" s="336"/>
      <c r="E6" s="336"/>
      <c r="F6" s="111">
        <v>365</v>
      </c>
    </row>
    <row r="7" spans="1:6" ht="16.5" customHeight="1">
      <c r="B7" s="80" t="s">
        <v>433</v>
      </c>
      <c r="C7" s="345" t="s">
        <v>434</v>
      </c>
      <c r="D7" s="345"/>
      <c r="E7" s="345"/>
      <c r="F7" s="113">
        <v>15.2</v>
      </c>
    </row>
    <row r="8" spans="1:6" ht="16.5" customHeight="1">
      <c r="B8" s="80" t="s">
        <v>435</v>
      </c>
      <c r="C8" s="336" t="s">
        <v>436</v>
      </c>
      <c r="D8" s="336"/>
      <c r="E8" s="336"/>
      <c r="F8" s="111">
        <v>12</v>
      </c>
    </row>
    <row r="9" spans="1:6" ht="16.5" customHeight="1">
      <c r="B9" s="80" t="s">
        <v>437</v>
      </c>
      <c r="C9" s="345" t="s">
        <v>438</v>
      </c>
      <c r="D9" s="345"/>
      <c r="E9" s="345"/>
      <c r="F9" s="112">
        <v>60</v>
      </c>
    </row>
    <row r="10" spans="1:6" s="78" customFormat="1" ht="16.5" customHeight="1">
      <c r="B10" s="80" t="s">
        <v>88</v>
      </c>
      <c r="C10" s="336" t="s">
        <v>439</v>
      </c>
      <c r="D10" s="336"/>
      <c r="E10" s="336"/>
      <c r="F10" s="114">
        <v>52.5</v>
      </c>
    </row>
    <row r="11" spans="1:6" s="97" customFormat="1"/>
    <row r="12" spans="1:6" s="97" customFormat="1">
      <c r="A12" s="78"/>
      <c r="B12" s="85" t="s">
        <v>366</v>
      </c>
      <c r="C12" s="79"/>
      <c r="D12" s="79"/>
      <c r="E12" s="79"/>
      <c r="F12" s="79"/>
    </row>
    <row r="13" spans="1:6" s="97" customFormat="1" ht="15" customHeight="1">
      <c r="A13" s="78"/>
      <c r="B13" s="80" t="s">
        <v>367</v>
      </c>
      <c r="C13" s="344" t="s">
        <v>368</v>
      </c>
      <c r="D13" s="344"/>
      <c r="E13" s="87" t="s">
        <v>440</v>
      </c>
      <c r="F13" s="87" t="s">
        <v>352</v>
      </c>
    </row>
    <row r="14" spans="1:6" s="97" customFormat="1">
      <c r="B14" s="115" t="s">
        <v>320</v>
      </c>
      <c r="C14" s="346" t="s">
        <v>441</v>
      </c>
      <c r="D14" s="346"/>
      <c r="E14" s="81" t="s">
        <v>442</v>
      </c>
      <c r="F14" s="116">
        <v>6</v>
      </c>
    </row>
    <row r="15" spans="1:6" s="97" customFormat="1"/>
    <row r="16" spans="1:6" s="79" customFormat="1">
      <c r="A16" s="97"/>
      <c r="B16" s="85" t="s">
        <v>371</v>
      </c>
      <c r="C16" s="90"/>
      <c r="D16" s="91"/>
      <c r="E16" s="92"/>
      <c r="F16" s="92"/>
    </row>
    <row r="17" spans="1:6" s="79" customFormat="1">
      <c r="A17" s="97"/>
      <c r="B17" s="80">
        <v>3</v>
      </c>
      <c r="C17" s="337" t="s">
        <v>372</v>
      </c>
      <c r="D17" s="337"/>
      <c r="E17" s="337"/>
      <c r="F17" s="87" t="s">
        <v>443</v>
      </c>
    </row>
    <row r="18" spans="1:6" s="79" customFormat="1" ht="16.5" customHeight="1">
      <c r="A18" s="97"/>
      <c r="B18" s="80" t="s">
        <v>316</v>
      </c>
      <c r="C18" s="336" t="s">
        <v>444</v>
      </c>
      <c r="D18" s="336"/>
      <c r="E18" s="336"/>
      <c r="F18" s="94">
        <v>62.93</v>
      </c>
    </row>
    <row r="19" spans="1:6">
      <c r="A19" s="97"/>
      <c r="B19" s="87" t="s">
        <v>318</v>
      </c>
      <c r="C19" s="347" t="s">
        <v>445</v>
      </c>
      <c r="D19" s="347"/>
      <c r="E19" s="347"/>
      <c r="F19" s="96">
        <v>5.55</v>
      </c>
    </row>
    <row r="20" spans="1:6" s="79" customFormat="1" ht="15.95" customHeight="1">
      <c r="B20" s="87" t="s">
        <v>320</v>
      </c>
      <c r="C20" s="336" t="s">
        <v>446</v>
      </c>
      <c r="D20" s="336"/>
      <c r="E20" s="336"/>
      <c r="F20" s="117">
        <v>40</v>
      </c>
    </row>
    <row r="21" spans="1:6" ht="16.5" customHeight="1">
      <c r="A21" s="97"/>
      <c r="B21" s="87" t="s">
        <v>323</v>
      </c>
      <c r="C21" s="347" t="s">
        <v>447</v>
      </c>
      <c r="D21" s="347"/>
      <c r="E21" s="347"/>
      <c r="F21" s="116">
        <v>94.45</v>
      </c>
    </row>
    <row r="22" spans="1:6" ht="16.5" customHeight="1">
      <c r="A22" s="97"/>
      <c r="B22" s="87" t="s">
        <v>325</v>
      </c>
      <c r="C22" s="336" t="s">
        <v>448</v>
      </c>
      <c r="D22" s="336"/>
      <c r="E22" s="336"/>
      <c r="F22" s="117">
        <v>30</v>
      </c>
    </row>
    <row r="23" spans="1:6" s="97" customFormat="1"/>
    <row r="24" spans="1:6" s="79" customFormat="1">
      <c r="B24" s="85" t="s">
        <v>376</v>
      </c>
      <c r="C24" s="90"/>
      <c r="D24" s="91"/>
      <c r="E24" s="78"/>
      <c r="F24" s="78"/>
    </row>
    <row r="25" spans="1:6" s="79" customFormat="1" ht="15" customHeight="1">
      <c r="B25" s="85" t="s">
        <v>377</v>
      </c>
      <c r="C25" s="90"/>
      <c r="D25" s="91"/>
      <c r="E25" s="92"/>
      <c r="F25" s="92"/>
    </row>
    <row r="26" spans="1:6" s="79" customFormat="1" ht="16.5" customHeight="1">
      <c r="B26" s="80" t="s">
        <v>378</v>
      </c>
      <c r="C26" s="344" t="s">
        <v>379</v>
      </c>
      <c r="D26" s="344"/>
      <c r="E26" s="344"/>
      <c r="F26" s="87" t="s">
        <v>443</v>
      </c>
    </row>
    <row r="27" spans="1:6" s="79" customFormat="1" ht="16.5" customHeight="1">
      <c r="B27" s="80" t="s">
        <v>316</v>
      </c>
      <c r="C27" s="336" t="s">
        <v>449</v>
      </c>
      <c r="D27" s="336"/>
      <c r="E27" s="336"/>
      <c r="F27" s="117">
        <v>8</v>
      </c>
    </row>
    <row r="28" spans="1:6" ht="16.5" customHeight="1">
      <c r="A28" s="79"/>
      <c r="B28" s="87" t="s">
        <v>318</v>
      </c>
      <c r="C28" s="338" t="s">
        <v>450</v>
      </c>
      <c r="D28" s="338"/>
      <c r="E28" s="338"/>
      <c r="F28" s="116">
        <v>20</v>
      </c>
    </row>
    <row r="29" spans="1:6" ht="16.5" customHeight="1">
      <c r="A29" s="79"/>
      <c r="B29" s="87" t="s">
        <v>320</v>
      </c>
      <c r="C29" s="336" t="s">
        <v>451</v>
      </c>
      <c r="D29" s="336"/>
      <c r="E29" s="336"/>
      <c r="F29" s="94">
        <v>1.42</v>
      </c>
    </row>
    <row r="30" spans="1:6" ht="16.5" customHeight="1">
      <c r="A30" s="79"/>
      <c r="B30" s="87" t="s">
        <v>323</v>
      </c>
      <c r="C30" s="338" t="s">
        <v>452</v>
      </c>
      <c r="D30" s="338"/>
      <c r="E30" s="338"/>
      <c r="F30" s="96">
        <v>45.22</v>
      </c>
    </row>
    <row r="31" spans="1:6" s="79" customFormat="1" ht="15.95" customHeight="1">
      <c r="A31" s="78"/>
      <c r="B31" s="87" t="s">
        <v>325</v>
      </c>
      <c r="C31" s="336" t="s">
        <v>453</v>
      </c>
      <c r="D31" s="336"/>
      <c r="E31" s="336"/>
      <c r="F31" s="94">
        <f>(154800/34808000)*100</f>
        <v>0.44472535049413925</v>
      </c>
    </row>
    <row r="32" spans="1:6" ht="15.75" customHeight="1">
      <c r="A32" s="79"/>
      <c r="B32" s="87" t="s">
        <v>344</v>
      </c>
      <c r="C32" s="338" t="s">
        <v>454</v>
      </c>
      <c r="D32" s="338"/>
      <c r="E32" s="338"/>
      <c r="F32" s="116">
        <v>15</v>
      </c>
    </row>
    <row r="33" spans="1:6" ht="15.75" customHeight="1">
      <c r="A33" s="79"/>
      <c r="B33" s="87" t="s">
        <v>345</v>
      </c>
      <c r="C33" s="336" t="s">
        <v>455</v>
      </c>
      <c r="D33" s="336"/>
      <c r="E33" s="336"/>
      <c r="F33" s="117">
        <v>180</v>
      </c>
    </row>
    <row r="34" spans="1:6" ht="16.5" customHeight="1">
      <c r="A34" s="79"/>
      <c r="B34" s="87" t="s">
        <v>346</v>
      </c>
      <c r="C34" s="338" t="s">
        <v>456</v>
      </c>
      <c r="D34" s="338"/>
      <c r="E34" s="338"/>
      <c r="F34" s="96">
        <v>54.78</v>
      </c>
    </row>
    <row r="35" spans="1:6" s="97" customFormat="1" ht="8.25" customHeight="1"/>
    <row r="36" spans="1:6">
      <c r="B36" s="85" t="s">
        <v>457</v>
      </c>
      <c r="C36" s="90"/>
      <c r="D36" s="91"/>
      <c r="E36" s="92"/>
      <c r="F36" s="92"/>
    </row>
    <row r="37" spans="1:6">
      <c r="B37" s="80" t="s">
        <v>386</v>
      </c>
      <c r="C37" s="337" t="s">
        <v>458</v>
      </c>
      <c r="D37" s="337"/>
      <c r="E37" s="337"/>
      <c r="F37" s="87" t="s">
        <v>459</v>
      </c>
    </row>
    <row r="38" spans="1:6" ht="16.5" customHeight="1">
      <c r="B38" s="80" t="s">
        <v>316</v>
      </c>
      <c r="C38" s="348" t="s">
        <v>460</v>
      </c>
      <c r="D38" s="348"/>
      <c r="E38" s="348"/>
      <c r="F38" s="111">
        <f>PERC_HORA_EXTRA</f>
        <v>0</v>
      </c>
    </row>
    <row r="39" spans="1:6" ht="15" customHeight="1">
      <c r="B39" s="80" t="s">
        <v>318</v>
      </c>
      <c r="C39" s="338" t="s">
        <v>461</v>
      </c>
      <c r="D39" s="338"/>
      <c r="E39" s="338"/>
      <c r="F39" s="112">
        <f>TEMPO_INTERVALO_REFEICAO</f>
        <v>0</v>
      </c>
    </row>
    <row r="40" spans="1:6" s="97" customFormat="1"/>
    <row r="41" spans="1:6" ht="20.25">
      <c r="B41" s="109" t="s">
        <v>426</v>
      </c>
      <c r="C41" s="118"/>
      <c r="D41" s="118"/>
      <c r="E41" s="118"/>
      <c r="F41" s="119"/>
    </row>
    <row r="42" spans="1:6" ht="33.75" customHeight="1">
      <c r="B42" s="343" t="s">
        <v>427</v>
      </c>
      <c r="C42" s="343"/>
      <c r="D42" s="343"/>
      <c r="E42" s="343"/>
      <c r="F42" s="343"/>
    </row>
  </sheetData>
  <sheetProtection sheet="1" objects="1" scenarios="1"/>
  <mergeCells count="29">
    <mergeCell ref="C34:E34"/>
    <mergeCell ref="C37:E37"/>
    <mergeCell ref="C38:E38"/>
    <mergeCell ref="C39:E39"/>
    <mergeCell ref="B42:F42"/>
    <mergeCell ref="C33:E33"/>
    <mergeCell ref="C19:E19"/>
    <mergeCell ref="C20:E20"/>
    <mergeCell ref="C21:E21"/>
    <mergeCell ref="C22:E22"/>
    <mergeCell ref="C26:E26"/>
    <mergeCell ref="C27:E27"/>
    <mergeCell ref="C28:E28"/>
    <mergeCell ref="C29:E29"/>
    <mergeCell ref="C30:E30"/>
    <mergeCell ref="C31:E31"/>
    <mergeCell ref="C32:E32"/>
    <mergeCell ref="C18:E18"/>
    <mergeCell ref="C3:E3"/>
    <mergeCell ref="C4:E4"/>
    <mergeCell ref="C5:E5"/>
    <mergeCell ref="C6:E6"/>
    <mergeCell ref="C7:E7"/>
    <mergeCell ref="C8:E8"/>
    <mergeCell ref="C9:E9"/>
    <mergeCell ref="C10:E10"/>
    <mergeCell ref="C13:D13"/>
    <mergeCell ref="C14:D14"/>
    <mergeCell ref="C17:E17"/>
  </mergeCells>
  <dataValidations count="1">
    <dataValidation operator="equal" allowBlank="1" showInputMessage="1" showErrorMessage="1" promptTitle="Intervalo Intrajornada" prompt="Segundo estudos da Audin-MPU, esse item não é usual nas planilhas do MPU. Verifique se realmente há necessidade de incluí-lo." sqref="F38:F39" xr:uid="{A219EA50-1F4E-4741-ACDC-E8E6DAF83603}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103</vt:i4>
      </vt:variant>
    </vt:vector>
  </HeadingPairs>
  <TitlesOfParts>
    <vt:vector size="112" baseType="lpstr">
      <vt:lpstr>INSTRUÇOES PARA PREENCHIMENTO</vt:lpstr>
      <vt:lpstr>MODELO PROPOSTA</vt:lpstr>
      <vt:lpstr>Cálculo do BDI</vt:lpstr>
      <vt:lpstr>Oficial de Manutenção-Estimado</vt:lpstr>
      <vt:lpstr>Oficial de Manutenção</vt:lpstr>
      <vt:lpstr>Uniforme</vt:lpstr>
      <vt:lpstr>Materiais de Reposição</vt:lpstr>
      <vt:lpstr>ENCARGOS-SOCIAIS-E-TRABALHISTAS</vt:lpstr>
      <vt:lpstr>DADOS-ESTATISTICOS</vt:lpstr>
      <vt:lpstr>'Oficial de Manutenção'!AL_1_A_SAL_BASE</vt:lpstr>
      <vt:lpstr>'Oficial de Manutenção-Estimado'!AL_1_A_SAL_BASE</vt:lpstr>
      <vt:lpstr>'Oficial de Manutenção'!AL_1_B_ADIC_PERIC</vt:lpstr>
      <vt:lpstr>'Oficial de Manutenção-Estimado'!AL_1_B_ADIC_PERIC</vt:lpstr>
      <vt:lpstr>'Oficial de Manutenção'!AL_1_C_ADIC_NOT</vt:lpstr>
      <vt:lpstr>'Oficial de Manutenção-Estimado'!AL_1_C_ADIC_NOT</vt:lpstr>
      <vt:lpstr>'Oficial de Manutenção'!AL_1_D_ADIC_NOT_RED</vt:lpstr>
      <vt:lpstr>'Oficial de Manutenção-Estimado'!AL_1_D_ADIC_NOT_RED</vt:lpstr>
      <vt:lpstr>'Oficial de Manutenção'!AL_2_1_A_DEC_TERC</vt:lpstr>
      <vt:lpstr>'Oficial de Manutenção-Estimado'!AL_2_1_A_DEC_TERC</vt:lpstr>
      <vt:lpstr>'Oficial de Manutenção'!AL_2_1_B_ADIC_FERIAS</vt:lpstr>
      <vt:lpstr>'Oficial de Manutenção-Estimado'!AL_2_1_B_ADIC_FERIAS</vt:lpstr>
      <vt:lpstr>'Oficial de Manutenção'!AL_2_2_FGTS</vt:lpstr>
      <vt:lpstr>'Oficial de Manutenção-Estimado'!AL_2_2_FGTS</vt:lpstr>
      <vt:lpstr>'Oficial de Manutenção'!AL_2_3_A_TRANSP</vt:lpstr>
      <vt:lpstr>'Oficial de Manutenção-Estimado'!AL_2_3_A_TRANSP</vt:lpstr>
      <vt:lpstr>'Oficial de Manutenção'!AL_2_3_B_AUX_ALIMENT</vt:lpstr>
      <vt:lpstr>'Oficial de Manutenção-Estimado'!AL_2_3_B_AUX_ALIMENT</vt:lpstr>
      <vt:lpstr>'Oficial de Manutenção'!AL_2_3_C_OUTROS_BENEF</vt:lpstr>
      <vt:lpstr>'Oficial de Manutenção-Estimado'!AL_2_3_C_OUTROS_BENEF</vt:lpstr>
      <vt:lpstr>'Oficial de Manutenção'!AL_2_A_ATE_2_G_GPS</vt:lpstr>
      <vt:lpstr>'Oficial de Manutenção-Estimado'!AL_2_A_ATE_2_G_GPS</vt:lpstr>
      <vt:lpstr>'Oficial de Manutenção'!AL_6_A_CUSTOS_INDIRETOS</vt:lpstr>
      <vt:lpstr>'Oficial de Manutenção-Estimado'!AL_6_A_CUSTOS_INDIRETOS</vt:lpstr>
      <vt:lpstr>'Oficial de Manutenção'!AL_6_B_LUCRO</vt:lpstr>
      <vt:lpstr>'Oficial de Manutenção-Estimado'!AL_6_B_LUCRO</vt:lpstr>
      <vt:lpstr>'Oficial de Manutenção'!AL_6_C_1_PIS</vt:lpstr>
      <vt:lpstr>'Oficial de Manutenção-Estimado'!AL_6_C_1_PIS</vt:lpstr>
      <vt:lpstr>'Oficial de Manutenção'!AL_6_C_2_COFINS</vt:lpstr>
      <vt:lpstr>'Oficial de Manutenção-Estimado'!AL_6_C_2_COFINS</vt:lpstr>
      <vt:lpstr>'Oficial de Manutenção'!AL_6_C_3_ISS</vt:lpstr>
      <vt:lpstr>'Oficial de Manutenção-Estimado'!AL_6_C_3_ISS</vt:lpstr>
      <vt:lpstr>'Oficial de Manutenção'!AL_6_C_TRIBUTOS</vt:lpstr>
      <vt:lpstr>'Oficial de Manutenção-Estimado'!AL_6_C_TRIBUTOS</vt:lpstr>
      <vt:lpstr>'Cálculo do BDI'!Area_de_impressao</vt:lpstr>
      <vt:lpstr>'INSTRUÇOES PARA PREENCHIMENTO'!Area_de_impressao</vt:lpstr>
      <vt:lpstr>'MODELO PROPOSTA'!Area_de_impressao</vt:lpstr>
      <vt:lpstr>DIAS_AUSENCIAS_LEGAIS</vt:lpstr>
      <vt:lpstr>DIAS_LICENCA_MATERNIDADE</vt:lpstr>
      <vt:lpstr>DIAS_LICENCA_PATERNIDADE</vt:lpstr>
      <vt:lpstr>DIAS_NA_SEMANA</vt:lpstr>
      <vt:lpstr>DIAS_NO_ANO</vt:lpstr>
      <vt:lpstr>DIAS_NO_MES</vt:lpstr>
      <vt:lpstr>DIAS_PAGOS_EMPRESA_ACID_TRAB</vt:lpstr>
      <vt:lpstr>DIVISOR_DE_HORAS</vt:lpstr>
      <vt:lpstr>HORA_NORMAL</vt:lpstr>
      <vt:lpstr>HORA_NOTURNA</vt:lpstr>
      <vt:lpstr>MEDIA_ANUAL_DIAS_TRABALHO_MES</vt:lpstr>
      <vt:lpstr>MESES_NO_ANO</vt:lpstr>
      <vt:lpstr>'Oficial de Manutenção'!MOD_1_REMUNERACAO</vt:lpstr>
      <vt:lpstr>'Oficial de Manutenção-Estimado'!MOD_1_REMUNERACAO</vt:lpstr>
      <vt:lpstr>'Oficial de Manutenção'!MOD_3_PROVISAO_RESCISAO</vt:lpstr>
      <vt:lpstr>'Oficial de Manutenção-Estimado'!MOD_3_PROVISAO_RESCISAO</vt:lpstr>
      <vt:lpstr>'Oficial de Manutenção'!MOD_5_INSUMOS</vt:lpstr>
      <vt:lpstr>'Oficial de Manutenção-Estimado'!MOD_5_INSUMOS</vt:lpstr>
      <vt:lpstr>'Oficial de Manutenção'!MOD_6_CUSTOS_IND_LUCRO_TRIB</vt:lpstr>
      <vt:lpstr>'Oficial de Manutenção-Estimado'!MOD_6_CUSTOS_IND_LUCRO_TRIB</vt:lpstr>
      <vt:lpstr>OUTRAS_AUSENCIAS</vt:lpstr>
      <vt:lpstr>PERC_ADIC_FERIAS</vt:lpstr>
      <vt:lpstr>PERC_AVISO_PREVIO_IND</vt:lpstr>
      <vt:lpstr>PERC_DEC_TERC</vt:lpstr>
      <vt:lpstr>PERC_DESC_TRANSP_REMUNERACAO</vt:lpstr>
      <vt:lpstr>PERC_EMPREG_AFAST_TRAB</vt:lpstr>
      <vt:lpstr>PERC_EMPREG_AVISO_PREVIO_IND</vt:lpstr>
      <vt:lpstr>PERC_EMPREG_AVISO_PREVIO_TRAB</vt:lpstr>
      <vt:lpstr>PERC_EMPREG_DEMIT_SEM_JUSTA_CAUSA_TOTAL_DESLIG</vt:lpstr>
      <vt:lpstr>PERC_INCRA</vt:lpstr>
      <vt:lpstr>PERC_INSS</vt:lpstr>
      <vt:lpstr>'Oficial de Manutenção'!PERC_MOD_3_PROVISAO_RESCISAO</vt:lpstr>
      <vt:lpstr>'Oficial de Manutenção-Estimado'!PERC_MOD_3_PROVISAO_RESCISAO</vt:lpstr>
      <vt:lpstr>PERC_MULTA_FGTS</vt:lpstr>
      <vt:lpstr>PERC_MULTA_FGTS_AV_PREV_TRAB</vt:lpstr>
      <vt:lpstr>PERC_NASCIDOS_VIVOS_POPUL_FEM</vt:lpstr>
      <vt:lpstr>PERC_PARTIC_FEM_VIGIL</vt:lpstr>
      <vt:lpstr>PERC_PARTIC_MASC_VIGIL</vt:lpstr>
      <vt:lpstr>PERC_RAT</vt:lpstr>
      <vt:lpstr>PERC_SAL_EDUCACAO</vt:lpstr>
      <vt:lpstr>PERC_SEBRAE</vt:lpstr>
      <vt:lpstr>PERC_SENAC</vt:lpstr>
      <vt:lpstr>PERC_SESC</vt:lpstr>
      <vt:lpstr>PERC_SUBSTITUTO_ACID_TRAB</vt:lpstr>
      <vt:lpstr>PERC_SUBSTITUTO_AFAST_MATERN</vt:lpstr>
      <vt:lpstr>PERC_SUBSTITUTO_AUSENCIAS_LEGAIS</vt:lpstr>
      <vt:lpstr>PERC_SUBSTITUTO_FERIAS</vt:lpstr>
      <vt:lpstr>PERC_SUBSTITUTO_LICENCA_PATERNIDADE</vt:lpstr>
      <vt:lpstr>'Oficial de Manutenção'!PERC_TRIBUTOS</vt:lpstr>
      <vt:lpstr>'Oficial de Manutenção-Estimado'!PERC_TRIBUTOS</vt:lpstr>
      <vt:lpstr>'INSTRUÇOES PARA PREENCHIMENTO'!Print_Area</vt:lpstr>
      <vt:lpstr>'MODELO PROPOSTA'!Print_Area</vt:lpstr>
      <vt:lpstr>'Oficial de Manutenção'!SUBMOD_2_1_DEC_TERC_ADIC_FERIAS</vt:lpstr>
      <vt:lpstr>'Oficial de Manutenção-Estimado'!SUBMOD_2_1_DEC_TERC_ADIC_FERIAS</vt:lpstr>
      <vt:lpstr>'Oficial de Manutenção'!SUBMOD_2_2_GPS_FGTS</vt:lpstr>
      <vt:lpstr>'Oficial de Manutenção-Estimado'!SUBMOD_2_2_GPS_FGTS</vt:lpstr>
      <vt:lpstr>'Oficial de Manutenção'!SUBMOD_2_3_BENEFICIOS</vt:lpstr>
      <vt:lpstr>'Oficial de Manutenção-Estimado'!SUBMOD_2_3_BENEFICIOS</vt:lpstr>
      <vt:lpstr>'Oficial de Manutenção'!SUBMOD_4_1_SUBSTITUTO</vt:lpstr>
      <vt:lpstr>'Oficial de Manutenção-Estimado'!SUBMOD_4_1_SUBSTITUTO</vt:lpstr>
      <vt:lpstr>'Oficial de Manutenção'!SUBMOD_4_2_INTRAJORNADA</vt:lpstr>
      <vt:lpstr>'Oficial de Manutenção-Estimado'!SUBMOD_4_2_INTRAJORNADA</vt:lpstr>
      <vt:lpstr>'Oficial de Manutenção'!VALOR_TOTAL_EMPREGADO</vt:lpstr>
      <vt:lpstr>'Oficial de Manutenção-Estimado'!VALOR_TOTAL_EMPREGADO</vt:lpstr>
      <vt:lpstr>'Oficial de Manutenção'!VALOR_TOTAL_POSTO</vt:lpstr>
      <vt:lpstr>'Oficial de Manutenção-Estimado'!VALOR_TOTAL_POSTO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prpa</cp:lastModifiedBy>
  <cp:revision>303</cp:revision>
  <cp:lastPrinted>2023-01-13T14:56:28Z</cp:lastPrinted>
  <dcterms:created xsi:type="dcterms:W3CDTF">2020-02-12T11:04:56Z</dcterms:created>
  <dcterms:modified xsi:type="dcterms:W3CDTF">2023-02-07T17:01:10Z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